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бюджета'!$A$1:$L$166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бюджета'!$A$1:$L$166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бюджета'!$A$1:$K$165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бюджета'!$A$1:$K$166</definedName>
    <definedName name="Z_4F278C51_CC0C_4908_B19B_FD853FE30C23_.wvu.PrintArea" localSheetId="0" hidden="1">'Анализ бюджета'!$A$1:$K$165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бюджета'!$A$1:$L$166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бюджета'!$37:$38,'Анализ бюджета'!$45:$46,'Анализ бюджета'!$129:$129</definedName>
    <definedName name="Z_735893B7_5E6F_4E87_8F79_7422E435EC59_.wvu.PrintArea" localSheetId="0" hidden="1">'Анализ бюджета'!$A$1:$K$168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бюджета'!$30:$35</definedName>
    <definedName name="Z_8F58F720_5478_11D7_8E43_00002120D636_.wvu.PrintArea" localSheetId="0" hidden="1">'Анализ бюджета'!$A$2:$K$48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бюджета'!$A$1:$L$166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бюджета'!$37:$38,'Анализ бюджета'!$45:$46,'Анализ бюджета'!#REF!,'Анализ бюджета'!$129:$129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бюджета'!$A$1:$K$168</definedName>
    <definedName name="Z_97B5DCE1_CCA4_11D7_B6CC_0007E980B7D4_.wvu.Rows" localSheetId="0" hidden="1">'Анализ бюджета'!#REF!,'Анализ бюджета'!$30:$35</definedName>
    <definedName name="Z_A91D99C2_8122_48C0_91AB_172E51C62B1D_.wvu.PrintArea" localSheetId="0" hidden="1">'Анализ бюджета'!$A$1:$K$165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бюджета'!$A$1:$L$166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бюджета'!$129:$129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бюджета'!$A$1:$K$165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бюджета'!$E:$E</definedName>
    <definedName name="Z_DD5C3F45_D2CB_45EC_9051_F348430664E8_.wvu.PrintArea" localSheetId="0" hidden="1">'Анализ бюджета'!$A$1:$L$166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бюджета'!$37:$38,'Анализ бюджета'!$45:$46,'Анализ бюджета'!$129:$129</definedName>
    <definedName name="Z_E64E5F61_FD5E_11DA_AA5B_0004761D6C8E_.wvu.PrintArea" localSheetId="0" hidden="1">'Анализ бюджета'!$A$1:$K$165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бюджета'!$G$47</definedName>
    <definedName name="Всего_расходов_2002">'Анализ бюджета'!#REF!</definedName>
    <definedName name="Всего_расходов_2003">'Анализ бюджета'!$G$118</definedName>
    <definedName name="_xlnm.Print_Titles" localSheetId="0">'Анализ бюджета'!$4:$5</definedName>
    <definedName name="_xlnm.Print_Area" localSheetId="0">'Анализ бюджета'!$A$1:$L$166</definedName>
  </definedNames>
  <calcPr calcId="125725" fullPrecision="0"/>
  <customWorkbookViews>
    <customWorkbookView name="taktashovaev - Личное представление" guid="{C76330A2-057D-4E27-B720-532A3C304D14}" mergeInterval="0" personalView="1" maximized="1" xWindow="1" yWindow="1" windowWidth="1276" windowHeight="739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наташа - Личное представление" guid="{19D3A214-C4D6-4FE6-9A50-A9E846DFEC72}" mergeInterval="0" personalView="1" maximized="1" windowWidth="1276" windowHeight="884" activeSheetId="1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Athlon - Личное представление" guid="{AE4F8834-9834-4486-A1C0-FEF04E11EC4A}" mergeInterval="0" personalView="1" maximized="1" windowWidth="1020" windowHeight="587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Tatyana - Личное представление" guid="{CD228F81-555E-11D7-A5BE-0050BF58DBA5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Elena - Личное представление" guid="{8F58F720-5478-11D7-8E43-00002120D636}" mergeInterval="0" personalView="1" maximized="1" windowWidth="796" windowHeight="438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МФ - Личное представление" guid="{E64E5F61-FD5E-11DA-AA5B-0004761D6C8E}" mergeInterval="0" personalView="1" maximized="1" windowWidth="796" windowHeight="438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Прокопенко - Личное представление" guid="{0BD4437E-22A9-4FBD-A5E2-5BE85718F571}" mergeInterval="0" personalView="1" maximized="1" xWindow="1" yWindow="1" windowWidth="1276" windowHeight="803" activeSheetId="1"/>
  </customWorkbookViews>
</workbook>
</file>

<file path=xl/calcChain.xml><?xml version="1.0" encoding="utf-8"?>
<calcChain xmlns="http://schemas.openxmlformats.org/spreadsheetml/2006/main">
  <c r="H161" i="1"/>
  <c r="D83"/>
  <c r="G76"/>
  <c r="D76"/>
  <c r="E83"/>
  <c r="D156"/>
  <c r="C156"/>
  <c r="K12"/>
  <c r="J12"/>
  <c r="I12"/>
  <c r="L12"/>
  <c r="L15"/>
  <c r="L18"/>
  <c r="L20"/>
  <c r="L21"/>
  <c r="L24"/>
  <c r="L25"/>
  <c r="L26"/>
  <c r="L27"/>
  <c r="L29"/>
  <c r="L30"/>
  <c r="L31"/>
  <c r="L33"/>
  <c r="L34"/>
  <c r="L36"/>
  <c r="L39"/>
  <c r="L41"/>
  <c r="L42"/>
  <c r="L44"/>
  <c r="L46"/>
  <c r="D38"/>
  <c r="E38"/>
  <c r="F38"/>
  <c r="G38"/>
  <c r="L38" s="1"/>
  <c r="D32"/>
  <c r="E32"/>
  <c r="F32"/>
  <c r="L32" s="1"/>
  <c r="G32"/>
  <c r="D28"/>
  <c r="E28"/>
  <c r="F28"/>
  <c r="L28" s="1"/>
  <c r="G28"/>
  <c r="D23"/>
  <c r="E23"/>
  <c r="F23"/>
  <c r="G23"/>
  <c r="L23" s="1"/>
  <c r="D19"/>
  <c r="E19"/>
  <c r="F19"/>
  <c r="G19"/>
  <c r="L19" s="1"/>
  <c r="D17"/>
  <c r="E17"/>
  <c r="F17"/>
  <c r="G17"/>
  <c r="L17" s="1"/>
  <c r="D16"/>
  <c r="E16"/>
  <c r="F16"/>
  <c r="G16"/>
  <c r="L16" s="1"/>
  <c r="D14"/>
  <c r="E14"/>
  <c r="F14"/>
  <c r="G14"/>
  <c r="L14" s="1"/>
  <c r="D13"/>
  <c r="E13"/>
  <c r="F13"/>
  <c r="G13"/>
  <c r="L13" s="1"/>
  <c r="D11"/>
  <c r="E11"/>
  <c r="I11" s="1"/>
  <c r="F11"/>
  <c r="G11"/>
  <c r="K11" s="1"/>
  <c r="D9"/>
  <c r="E9"/>
  <c r="F9"/>
  <c r="G9"/>
  <c r="D8"/>
  <c r="E8"/>
  <c r="F8"/>
  <c r="G8"/>
  <c r="D7"/>
  <c r="E7"/>
  <c r="F7"/>
  <c r="G7"/>
  <c r="C14"/>
  <c r="L11" l="1"/>
  <c r="J11"/>
  <c r="L7"/>
  <c r="C9"/>
  <c r="C28"/>
  <c r="C23"/>
  <c r="C32"/>
  <c r="K34"/>
  <c r="J34"/>
  <c r="I34"/>
  <c r="C11"/>
  <c r="F69"/>
  <c r="D69"/>
  <c r="E69"/>
  <c r="G69"/>
  <c r="C69"/>
  <c r="L150"/>
  <c r="K150"/>
  <c r="J150"/>
  <c r="I150"/>
  <c r="G149"/>
  <c r="F149"/>
  <c r="E149"/>
  <c r="I149" s="1"/>
  <c r="D149"/>
  <c r="C149"/>
  <c r="C139"/>
  <c r="C138" s="1"/>
  <c r="I142"/>
  <c r="G139"/>
  <c r="E139"/>
  <c r="D139"/>
  <c r="C126"/>
  <c r="D126"/>
  <c r="C118"/>
  <c r="L149" l="1"/>
  <c r="K149"/>
  <c r="J149"/>
  <c r="J142"/>
  <c r="L142"/>
  <c r="L112"/>
  <c r="K112"/>
  <c r="J112"/>
  <c r="I112"/>
  <c r="G107"/>
  <c r="E107"/>
  <c r="D107"/>
  <c r="D109"/>
  <c r="D95"/>
  <c r="E95"/>
  <c r="F95"/>
  <c r="G95"/>
  <c r="C95"/>
  <c r="L104"/>
  <c r="K104"/>
  <c r="J104"/>
  <c r="I104"/>
  <c r="L102"/>
  <c r="K102"/>
  <c r="J102"/>
  <c r="I102"/>
  <c r="L101"/>
  <c r="K101"/>
  <c r="J101"/>
  <c r="I101"/>
  <c r="L100"/>
  <c r="K100"/>
  <c r="J100"/>
  <c r="I100"/>
  <c r="L99"/>
  <c r="K99"/>
  <c r="J99"/>
  <c r="I99"/>
  <c r="L92"/>
  <c r="K92"/>
  <c r="J92"/>
  <c r="I92"/>
  <c r="F159"/>
  <c r="F156"/>
  <c r="F147"/>
  <c r="F138"/>
  <c r="F135"/>
  <c r="F126"/>
  <c r="F125" s="1"/>
  <c r="F118"/>
  <c r="F117"/>
  <c r="F76"/>
  <c r="F50"/>
  <c r="F151" s="1"/>
  <c r="F45"/>
  <c r="F43"/>
  <c r="F40"/>
  <c r="F35"/>
  <c r="L10"/>
  <c r="L53"/>
  <c r="L52"/>
  <c r="L51"/>
  <c r="L9"/>
  <c r="K44"/>
  <c r="I44"/>
  <c r="G43"/>
  <c r="L43" s="1"/>
  <c r="E43"/>
  <c r="I43" s="1"/>
  <c r="D43"/>
  <c r="C43"/>
  <c r="K25"/>
  <c r="J25"/>
  <c r="I25"/>
  <c r="F37" l="1"/>
  <c r="F155"/>
  <c r="F22"/>
  <c r="K43"/>
  <c r="C76"/>
  <c r="F6" l="1"/>
  <c r="L115"/>
  <c r="K115"/>
  <c r="J115"/>
  <c r="I115"/>
  <c r="L88"/>
  <c r="K88"/>
  <c r="J88"/>
  <c r="I88"/>
  <c r="L80"/>
  <c r="K80"/>
  <c r="J80"/>
  <c r="I80"/>
  <c r="L58"/>
  <c r="J58"/>
  <c r="I58"/>
  <c r="J31"/>
  <c r="I31"/>
  <c r="F47" l="1"/>
  <c r="I9"/>
  <c r="I10"/>
  <c r="I15"/>
  <c r="I18"/>
  <c r="I20"/>
  <c r="I21"/>
  <c r="I24"/>
  <c r="I26"/>
  <c r="I27"/>
  <c r="I29"/>
  <c r="I30"/>
  <c r="I33"/>
  <c r="I36"/>
  <c r="I39"/>
  <c r="I41"/>
  <c r="I42"/>
  <c r="I46"/>
  <c r="K33"/>
  <c r="J33"/>
  <c r="I32"/>
  <c r="J36"/>
  <c r="E40"/>
  <c r="G40"/>
  <c r="D40"/>
  <c r="C40"/>
  <c r="L8"/>
  <c r="K9"/>
  <c r="K10"/>
  <c r="K15"/>
  <c r="K18"/>
  <c r="K20"/>
  <c r="K21"/>
  <c r="K24"/>
  <c r="K26"/>
  <c r="K27"/>
  <c r="K29"/>
  <c r="K30"/>
  <c r="K39"/>
  <c r="J9"/>
  <c r="J10"/>
  <c r="J15"/>
  <c r="J18"/>
  <c r="J20"/>
  <c r="J21"/>
  <c r="J24"/>
  <c r="J26"/>
  <c r="J27"/>
  <c r="J29"/>
  <c r="J30"/>
  <c r="J39"/>
  <c r="J42"/>
  <c r="J41"/>
  <c r="K46"/>
  <c r="G45"/>
  <c r="L45" s="1"/>
  <c r="E45"/>
  <c r="D45"/>
  <c r="C45"/>
  <c r="C38"/>
  <c r="C37" s="1"/>
  <c r="H36"/>
  <c r="G35"/>
  <c r="E35"/>
  <c r="D35"/>
  <c r="D22" s="1"/>
  <c r="D6" s="1"/>
  <c r="C35"/>
  <c r="C19"/>
  <c r="C17"/>
  <c r="C13"/>
  <c r="C8"/>
  <c r="G22" l="1"/>
  <c r="L35"/>
  <c r="I35"/>
  <c r="E22"/>
  <c r="E6" s="1"/>
  <c r="L40"/>
  <c r="G37"/>
  <c r="L37" s="1"/>
  <c r="I40"/>
  <c r="E37"/>
  <c r="D37"/>
  <c r="F153"/>
  <c r="I38"/>
  <c r="I45"/>
  <c r="I28"/>
  <c r="I23"/>
  <c r="I19"/>
  <c r="I13"/>
  <c r="I8"/>
  <c r="C22"/>
  <c r="I17"/>
  <c r="I14"/>
  <c r="J32"/>
  <c r="K32"/>
  <c r="J35"/>
  <c r="K14"/>
  <c r="K8"/>
  <c r="K13"/>
  <c r="K17"/>
  <c r="K19"/>
  <c r="K23"/>
  <c r="K28"/>
  <c r="K38"/>
  <c r="J38"/>
  <c r="J28"/>
  <c r="J13"/>
  <c r="J23"/>
  <c r="J19"/>
  <c r="J17"/>
  <c r="J14"/>
  <c r="J8"/>
  <c r="D47"/>
  <c r="C16"/>
  <c r="C7" s="1"/>
  <c r="K45"/>
  <c r="H35"/>
  <c r="K40"/>
  <c r="G6" l="1"/>
  <c r="L22"/>
  <c r="E47"/>
  <c r="I16"/>
  <c r="I37"/>
  <c r="I22"/>
  <c r="C6"/>
  <c r="C47" s="1"/>
  <c r="K37"/>
  <c r="J37"/>
  <c r="K22"/>
  <c r="J22"/>
  <c r="K16"/>
  <c r="J16"/>
  <c r="L6" l="1"/>
  <c r="G47"/>
  <c r="I6"/>
  <c r="H34"/>
  <c r="K6"/>
  <c r="I7"/>
  <c r="K7"/>
  <c r="J7"/>
  <c r="J6"/>
  <c r="H12" l="1"/>
  <c r="H11"/>
  <c r="L47"/>
  <c r="H31"/>
  <c r="J44"/>
  <c r="H44"/>
  <c r="H25"/>
  <c r="H43"/>
  <c r="J43"/>
  <c r="I47"/>
  <c r="C50"/>
  <c r="I154"/>
  <c r="I148"/>
  <c r="I146"/>
  <c r="I145"/>
  <c r="I144"/>
  <c r="I141"/>
  <c r="I140"/>
  <c r="I139"/>
  <c r="I137"/>
  <c r="I136"/>
  <c r="I134"/>
  <c r="I133"/>
  <c r="I132"/>
  <c r="I130"/>
  <c r="I128"/>
  <c r="I127"/>
  <c r="I124"/>
  <c r="I123"/>
  <c r="I122"/>
  <c r="I120"/>
  <c r="I119"/>
  <c r="I116"/>
  <c r="I114"/>
  <c r="I111"/>
  <c r="I110"/>
  <c r="I109"/>
  <c r="I108"/>
  <c r="I107"/>
  <c r="I105"/>
  <c r="I98"/>
  <c r="I96"/>
  <c r="I94"/>
  <c r="I91"/>
  <c r="I87"/>
  <c r="I86"/>
  <c r="I85"/>
  <c r="I84"/>
  <c r="I83"/>
  <c r="I81"/>
  <c r="I79"/>
  <c r="I77"/>
  <c r="I75"/>
  <c r="I73"/>
  <c r="I71"/>
  <c r="I68"/>
  <c r="I67"/>
  <c r="I66"/>
  <c r="I64"/>
  <c r="I63"/>
  <c r="I61"/>
  <c r="I60"/>
  <c r="I59"/>
  <c r="I56"/>
  <c r="I55"/>
  <c r="I53"/>
  <c r="I52"/>
  <c r="I51"/>
  <c r="D50"/>
  <c r="I69" l="1"/>
  <c r="K87"/>
  <c r="E76" l="1"/>
  <c r="I76" s="1"/>
  <c r="I89"/>
  <c r="K89"/>
  <c r="J89"/>
  <c r="L89"/>
  <c r="E118"/>
  <c r="H33" l="1"/>
  <c r="H32"/>
  <c r="H40"/>
  <c r="H26"/>
  <c r="H42"/>
  <c r="H41"/>
  <c r="H46"/>
  <c r="H39"/>
  <c r="H29"/>
  <c r="H27"/>
  <c r="H24"/>
  <c r="H20"/>
  <c r="H18"/>
  <c r="H15"/>
  <c r="H9"/>
  <c r="H30"/>
  <c r="H21"/>
  <c r="H10"/>
  <c r="H8"/>
  <c r="H14"/>
  <c r="H16"/>
  <c r="H23"/>
  <c r="H45"/>
  <c r="H17"/>
  <c r="H13"/>
  <c r="H7"/>
  <c r="H19"/>
  <c r="H38"/>
  <c r="H28"/>
  <c r="H37"/>
  <c r="H22"/>
  <c r="H6"/>
  <c r="J46"/>
  <c r="J40"/>
  <c r="J45"/>
  <c r="H47"/>
  <c r="K47"/>
  <c r="J47"/>
  <c r="J123" l="1"/>
  <c r="K123"/>
  <c r="L123"/>
  <c r="E50" l="1"/>
  <c r="G50"/>
  <c r="L67"/>
  <c r="L146"/>
  <c r="K146"/>
  <c r="J146"/>
  <c r="L145"/>
  <c r="K145"/>
  <c r="J145"/>
  <c r="L144"/>
  <c r="K144"/>
  <c r="J144"/>
  <c r="L124"/>
  <c r="K124"/>
  <c r="J124"/>
  <c r="L122"/>
  <c r="K122"/>
  <c r="J122"/>
  <c r="L68"/>
  <c r="K68"/>
  <c r="J68"/>
  <c r="L66"/>
  <c r="K66"/>
  <c r="J66"/>
  <c r="D138"/>
  <c r="E138"/>
  <c r="G138"/>
  <c r="J50" l="1"/>
  <c r="I50"/>
  <c r="I138"/>
  <c r="J67"/>
  <c r="K67"/>
  <c r="L86" l="1"/>
  <c r="J86"/>
  <c r="K86"/>
  <c r="L85"/>
  <c r="J85"/>
  <c r="K85"/>
  <c r="J59" l="1"/>
  <c r="L59"/>
  <c r="J75" l="1"/>
  <c r="K75"/>
  <c r="L75"/>
  <c r="D125" l="1"/>
  <c r="E126"/>
  <c r="G126"/>
  <c r="C125"/>
  <c r="J81"/>
  <c r="D118"/>
  <c r="D117" s="1"/>
  <c r="E117"/>
  <c r="G118"/>
  <c r="I118" s="1"/>
  <c r="C117"/>
  <c r="J51"/>
  <c r="K51"/>
  <c r="J52"/>
  <c r="K52"/>
  <c r="J53"/>
  <c r="K53"/>
  <c r="J56"/>
  <c r="K56"/>
  <c r="L56"/>
  <c r="J60"/>
  <c r="K60"/>
  <c r="L60"/>
  <c r="J61"/>
  <c r="K61"/>
  <c r="L61"/>
  <c r="J63"/>
  <c r="K63"/>
  <c r="L63"/>
  <c r="J64"/>
  <c r="K64"/>
  <c r="L64"/>
  <c r="J71"/>
  <c r="K71"/>
  <c r="L71"/>
  <c r="J77"/>
  <c r="K77"/>
  <c r="L77"/>
  <c r="J79"/>
  <c r="K79"/>
  <c r="L79"/>
  <c r="K81"/>
  <c r="L81"/>
  <c r="J83"/>
  <c r="K83"/>
  <c r="L83"/>
  <c r="J84"/>
  <c r="K84"/>
  <c r="L84"/>
  <c r="J87"/>
  <c r="L87"/>
  <c r="J94"/>
  <c r="K94"/>
  <c r="L94"/>
  <c r="J114"/>
  <c r="L114"/>
  <c r="J116"/>
  <c r="K116"/>
  <c r="L116"/>
  <c r="J96"/>
  <c r="K96"/>
  <c r="L96"/>
  <c r="J98"/>
  <c r="K98"/>
  <c r="L98"/>
  <c r="J105"/>
  <c r="K105"/>
  <c r="L105"/>
  <c r="J107"/>
  <c r="K107"/>
  <c r="L107"/>
  <c r="J108"/>
  <c r="K108"/>
  <c r="L108"/>
  <c r="J109"/>
  <c r="K109"/>
  <c r="L109"/>
  <c r="J110"/>
  <c r="K110"/>
  <c r="L110"/>
  <c r="J111"/>
  <c r="K111"/>
  <c r="L111"/>
  <c r="J119"/>
  <c r="K119"/>
  <c r="L119"/>
  <c r="J120"/>
  <c r="K120"/>
  <c r="L120"/>
  <c r="J132"/>
  <c r="K132"/>
  <c r="L132"/>
  <c r="J133"/>
  <c r="K133"/>
  <c r="L133"/>
  <c r="J134"/>
  <c r="K134"/>
  <c r="L134"/>
  <c r="J127"/>
  <c r="K127"/>
  <c r="L127"/>
  <c r="J128"/>
  <c r="K128"/>
  <c r="L128"/>
  <c r="J130"/>
  <c r="K130"/>
  <c r="L130"/>
  <c r="J136"/>
  <c r="K136"/>
  <c r="L136"/>
  <c r="J137"/>
  <c r="L137"/>
  <c r="J139"/>
  <c r="K139"/>
  <c r="L139"/>
  <c r="J140"/>
  <c r="K140"/>
  <c r="L140"/>
  <c r="J141"/>
  <c r="K141"/>
  <c r="L141"/>
  <c r="J148"/>
  <c r="K148"/>
  <c r="L148"/>
  <c r="J73"/>
  <c r="K73"/>
  <c r="L73"/>
  <c r="J91"/>
  <c r="K91"/>
  <c r="L91"/>
  <c r="J55"/>
  <c r="K55"/>
  <c r="L55"/>
  <c r="D135"/>
  <c r="E135"/>
  <c r="G135"/>
  <c r="C135"/>
  <c r="D147"/>
  <c r="E147"/>
  <c r="G147"/>
  <c r="C147"/>
  <c r="C151" l="1"/>
  <c r="D151"/>
  <c r="J126"/>
  <c r="E125"/>
  <c r="E151" s="1"/>
  <c r="I126"/>
  <c r="I147"/>
  <c r="I135"/>
  <c r="I95"/>
  <c r="K118"/>
  <c r="L126"/>
  <c r="J118"/>
  <c r="G125"/>
  <c r="K125" s="1"/>
  <c r="G117"/>
  <c r="K126"/>
  <c r="L118"/>
  <c r="L147"/>
  <c r="J147"/>
  <c r="L138"/>
  <c r="J138"/>
  <c r="L135"/>
  <c r="J135"/>
  <c r="L95"/>
  <c r="J95"/>
  <c r="L76"/>
  <c r="J76"/>
  <c r="L69"/>
  <c r="J69"/>
  <c r="K147"/>
  <c r="K138"/>
  <c r="K135"/>
  <c r="K117"/>
  <c r="K95"/>
  <c r="K76"/>
  <c r="K69"/>
  <c r="I117" l="1"/>
  <c r="G151"/>
  <c r="H151" s="1"/>
  <c r="J117"/>
  <c r="I125"/>
  <c r="J125"/>
  <c r="L125"/>
  <c r="L117"/>
  <c r="H150" l="1"/>
  <c r="H149"/>
  <c r="H112"/>
  <c r="H142"/>
  <c r="H104"/>
  <c r="H102"/>
  <c r="H115"/>
  <c r="H100"/>
  <c r="H92"/>
  <c r="H101"/>
  <c r="H99"/>
  <c r="H80"/>
  <c r="H88"/>
  <c r="I151"/>
  <c r="H58"/>
  <c r="H89"/>
  <c r="K151"/>
  <c r="L151"/>
  <c r="H67"/>
  <c r="H68"/>
  <c r="H59"/>
  <c r="H145"/>
  <c r="H86"/>
  <c r="H124"/>
  <c r="H75"/>
  <c r="H85"/>
  <c r="H66"/>
  <c r="H122"/>
  <c r="H144"/>
  <c r="H123"/>
  <c r="H146"/>
  <c r="L158"/>
  <c r="L157"/>
  <c r="K157"/>
  <c r="K158"/>
  <c r="J157"/>
  <c r="J158"/>
  <c r="E156"/>
  <c r="G156"/>
  <c r="H160" s="1"/>
  <c r="K50"/>
  <c r="J151"/>
  <c r="J156" l="1"/>
  <c r="H51"/>
  <c r="H52"/>
  <c r="H53"/>
  <c r="H56"/>
  <c r="H60"/>
  <c r="H61"/>
  <c r="H63"/>
  <c r="H64"/>
  <c r="H71"/>
  <c r="H77"/>
  <c r="H79"/>
  <c r="H81"/>
  <c r="H83"/>
  <c r="H84"/>
  <c r="H87"/>
  <c r="H94"/>
  <c r="H114"/>
  <c r="H116"/>
  <c r="H96"/>
  <c r="H98"/>
  <c r="H105"/>
  <c r="H107"/>
  <c r="H108"/>
  <c r="H109"/>
  <c r="H110"/>
  <c r="H111"/>
  <c r="H118"/>
  <c r="H119"/>
  <c r="H120"/>
  <c r="H132"/>
  <c r="H133"/>
  <c r="H134"/>
  <c r="H126"/>
  <c r="H127"/>
  <c r="H128"/>
  <c r="H130"/>
  <c r="H136"/>
  <c r="H137"/>
  <c r="H139"/>
  <c r="H140"/>
  <c r="H141"/>
  <c r="H148"/>
  <c r="H73"/>
  <c r="H91"/>
  <c r="H55"/>
  <c r="H147"/>
  <c r="H138"/>
  <c r="H135"/>
  <c r="H125"/>
  <c r="H117"/>
  <c r="H95"/>
  <c r="H76"/>
  <c r="H69"/>
  <c r="L156"/>
  <c r="H50"/>
  <c r="L50"/>
  <c r="J161" l="1"/>
  <c r="K161"/>
  <c r="L161"/>
  <c r="C153"/>
  <c r="C159"/>
  <c r="C155" s="1"/>
  <c r="D159" l="1"/>
  <c r="D155" s="1"/>
  <c r="D153"/>
  <c r="E153"/>
  <c r="E159"/>
  <c r="E155" s="1"/>
  <c r="L160" l="1"/>
  <c r="G153" l="1"/>
  <c r="G159" l="1"/>
  <c r="J160"/>
  <c r="L153"/>
  <c r="J153"/>
  <c r="H153"/>
  <c r="K153"/>
  <c r="L159" l="1"/>
  <c r="K159"/>
  <c r="J159"/>
  <c r="G155"/>
  <c r="I155" s="1"/>
  <c r="J155" l="1"/>
  <c r="H159"/>
  <c r="K155"/>
  <c r="H155"/>
  <c r="L155"/>
</calcChain>
</file>

<file path=xl/sharedStrings.xml><?xml version="1.0" encoding="utf-8"?>
<sst xmlns="http://schemas.openxmlformats.org/spreadsheetml/2006/main" count="252" uniqueCount="217">
  <si>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</si>
  <si>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</si>
  <si>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</si>
  <si>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</si>
  <si>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</si>
  <si>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</si>
  <si>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</si>
  <si>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</si>
  <si>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</si>
  <si>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</si>
  <si>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</si>
  <si>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</si>
  <si>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</si>
  <si>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</si>
  <si>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</si>
  <si>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</si>
  <si>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</si>
  <si>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</si>
  <si>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</si>
  <si>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</si>
  <si>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</si>
  <si>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</si>
  <si>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</si>
  <si>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</si>
  <si>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</si>
  <si>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</si>
  <si>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</si>
  <si>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</si>
  <si>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</si>
  <si>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</si>
  <si>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</si>
  <si>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</si>
  <si>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182 1 06 01030 10 0000 110</t>
  </si>
  <si>
    <t>182 1 06 06000 00 0000 110</t>
  </si>
  <si>
    <t>Налог на имущество физических лиц</t>
  </si>
  <si>
    <t>182 1 06 01000 00 0000 110</t>
  </si>
  <si>
    <t>182 1 06 06013 10 0000 110</t>
  </si>
  <si>
    <t>182 1 06 06023 10 0000 110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</si>
  <si>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</si>
  <si>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</si>
  <si>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</si>
  <si>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</si>
  <si>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</si>
  <si>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</si>
  <si>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000 2 02 01000 00 0000 151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</si>
  <si>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</si>
  <si>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</si>
  <si>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</si>
  <si>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</si>
  <si>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 xml:space="preserve">Дотации бюджетам субъектов Российской Федерации и муниципальных образований 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</si>
  <si>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</si>
  <si>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</si>
  <si>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</si>
  <si>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</si>
  <si>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</si>
  <si>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Дотации бюджетам поселений на выравнивание бюджетной обеспеченности за счет субвенции бюджету муниципального района на исполнение государственных полномочий по расчету и предоставлению дотаций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</si>
  <si>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</si>
  <si>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</si>
  <si>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</si>
  <si>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</si>
  <si>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</si>
  <si>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</si>
  <si>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</si>
  <si>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</si>
  <si>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</si>
  <si>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</si>
  <si>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</si>
  <si>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</si>
  <si>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0800</t>
  </si>
  <si>
    <t>Культура</t>
  </si>
  <si>
    <t>0801</t>
  </si>
  <si>
    <t>1001</t>
  </si>
  <si>
    <t>Пенсионное обеспечение</t>
  </si>
  <si>
    <t xml:space="preserve">Возврат остатков субсидий, субвенций и иных межбюджетных трансфертов, имеющих целевое назначение, прошлых лет, из бюджетов поселений </t>
  </si>
  <si>
    <t>148 2 02 01001 10 0002 151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</si>
  <si>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</si>
  <si>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</si>
  <si>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</si>
  <si>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 xml:space="preserve">Первоначальный  годовой план 
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</si>
  <si>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</si>
  <si>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</si>
  <si>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</si>
  <si>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</si>
  <si>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>1301</t>
  </si>
  <si>
    <t>0113</t>
  </si>
  <si>
    <t>0804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</si>
  <si>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</si>
  <si>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</si>
  <si>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</si>
  <si>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</si>
  <si>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</si>
  <si>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</si>
  <si>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</si>
  <si>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</si>
  <si>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</si>
  <si>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</si>
  <si>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</si>
  <si>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</si>
  <si>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</si>
  <si>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</si>
  <si>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</si>
  <si>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</si>
  <si>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</si>
  <si>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</si>
  <si>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</si>
  <si>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</si>
  <si>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содержание автомобильных дорог общего пользования</t>
  </si>
  <si>
    <t>- ремонт автомобильных дорог общего пользования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</si>
  <si>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</si>
  <si>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</si>
  <si>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озеленение</t>
  </si>
  <si>
    <t>- организация и содержание мест захоронения</t>
  </si>
  <si>
    <t>- прочие мероприятия по благоустройству городских округов и поселений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</si>
  <si>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</si>
  <si>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</si>
  <si>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</si>
  <si>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</si>
  <si>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</si>
  <si>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>Другие вопросы в области культуры, кинематографии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</si>
  <si>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</si>
  <si>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</si>
  <si>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</si>
  <si>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</si>
  <si>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</si>
  <si>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</si>
  <si>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</si>
  <si>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</si>
  <si>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</si>
  <si>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</si>
  <si>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</si>
  <si>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</si>
  <si>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000 2 02 02000 00 0000 151</t>
  </si>
  <si>
    <t>Субсидии бюджетам Российской Федерации и муниципальных образований (межбюджетные субсидии)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</si>
  <si>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</si>
  <si>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</si>
  <si>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148 219 05000 10 0000 151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</si>
  <si>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</si>
  <si>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</si>
  <si>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</si>
  <si>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</si>
  <si>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134 1 11 05013 10 0000 120</t>
  </si>
  <si>
    <t>104 1 14 02053 10 0000 410</t>
  </si>
  <si>
    <t>134 1 14 06013 10 0000 430</t>
  </si>
  <si>
    <t>тыс.рублей</t>
  </si>
  <si>
    <t>182 1 01 02010 01 0000 110</t>
  </si>
  <si>
    <t>0107</t>
  </si>
  <si>
    <t>Обеспечение проведения выборов и референдумов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</si>
  <si>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</si>
  <si>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</si>
  <si>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Субсидия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</si>
  <si>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Субсидия бюджетам поселений области на капитальный ремонт и ремонт автомобильных дорог общего пользования населенных пунктов за счет средств областного дорожного фонда</t>
  </si>
  <si>
    <t>148 2 02 02999 10 0037 151</t>
  </si>
  <si>
    <t>148 2 02 02999 10 0038 151</t>
  </si>
  <si>
    <t>Из них по разделу 0100</t>
  </si>
  <si>
    <t>Из них по разделу 0300</t>
  </si>
  <si>
    <t>Из них по разделу 0400</t>
  </si>
  <si>
    <t>Из них по разделу 0500</t>
  </si>
  <si>
    <t>Из них по разделу 0700</t>
  </si>
  <si>
    <t>Из них по разделу 0800</t>
  </si>
  <si>
    <t>Из них по разделу 1100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</si>
  <si>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</si>
  <si>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</si>
  <si>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t>Процент 
исполнения плана 
1 квартала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</si>
  <si>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</si>
  <si>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</si>
  <si>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</si>
  <si>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161 1 16 33050 10 0000 140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</si>
  <si>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</si>
  <si>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104 1 14 06025 10 0000 430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</si>
  <si>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</si>
  <si>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Фактическое
исполнение
на 01.04.2013 г.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</si>
  <si>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</si>
  <si>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</si>
  <si>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104 1 11 05075 10 0000 120</t>
  </si>
  <si>
    <t>Доходы от сдачи в аренду имущества, составляющего казну поселений (за исключением земельных участков)</t>
  </si>
  <si>
    <t>104 1 11 07015 10 0000 120</t>
  </si>
  <si>
    <t>104 1 11 09045 10 0000 120</t>
  </si>
  <si>
    <t xml:space="preserve">148 2 02 04999 10 0001 151 </t>
  </si>
  <si>
    <t>Иные межбюджетные трансферты бюджетам поселений из бюджета Энгельсского муниципального района</t>
  </si>
  <si>
    <t>Иные межбюджетные трансферты</t>
  </si>
  <si>
    <t>000 2 02 04000 00 0000 151</t>
  </si>
  <si>
    <t>Анализ исполнения  бюджета муниципального образования город Энгельс за 1 квартал 2014 года</t>
  </si>
  <si>
    <t>Уточненный годовой план 
на 01.04.2014 г.</t>
  </si>
  <si>
    <t>План  1 квартала
на 01.04.2014 г.</t>
  </si>
  <si>
    <t>Фактическое
исполнение
на 01.04.2014 г.</t>
  </si>
  <si>
    <t>Уд. вес
в 2014 г.</t>
  </si>
  <si>
    <t>Сравнение исполнения на 01.04.2013 и 2014 гг.      (гр.7-гр.6)</t>
  </si>
  <si>
    <t>0104</t>
  </si>
  <si>
    <t xml:space="preserve">- межбюджетные трансферты на осуществление переданных полномочий по решению вопросов местного значения поселений 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</si>
  <si>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</si>
  <si>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</si>
  <si>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</si>
  <si>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2900430, 2900420, 3900430, 3900440</t>
  </si>
  <si>
    <t>0412</t>
  </si>
  <si>
    <t>- межбюджетные трансферты на осуществление переданных полномочий по решению вопросов местного значения поселений по архитектуре и градостроительству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</si>
  <si>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</si>
  <si>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</si>
  <si>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- ремонт дворовых территорий многоквартирных домов   (в рамках ВЦП)</t>
  </si>
  <si>
    <t>- переселение граждан из  аварийного жилищного фонда  (в рамках МЦП)</t>
  </si>
  <si>
    <t>- замена и модернизация лифтового оборудования  (в рамках МЦП)</t>
  </si>
  <si>
    <t>0502</t>
  </si>
  <si>
    <t>Коммунальное хозяйство</t>
  </si>
  <si>
    <t>в т.ч. субсидии МБУ</t>
  </si>
  <si>
    <t>Физическая культура, в т.ч.:</t>
  </si>
  <si>
    <t>1105</t>
  </si>
  <si>
    <t>Другие вопросы в области физической культуры и спорта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</si>
  <si>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</si>
  <si>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</si>
  <si>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</si>
  <si>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</si>
  <si>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100 1 03 02000 00 0000 000</t>
  </si>
  <si>
    <t>119 1 16 51040 02 0000 140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</si>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</sst>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24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  <font>
      <b/>
      <sz val="9"/>
      <color indexed="8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167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left" vertical="justify" wrapText="1"/>
    </xf>
    <xf numFmtId="164" fontId="3" fillId="0" borderId="1" xfId="3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3" fillId="0" borderId="0" xfId="0" applyNumberFormat="1" applyFont="1" applyFill="1" applyBorder="1" applyAlignment="1">
      <alignment horizontal="left" vertical="justify" wrapText="1"/>
    </xf>
    <xf numFmtId="168" fontId="9" fillId="0" borderId="0" xfId="0" applyNumberFormat="1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vertical="center"/>
    </xf>
    <xf numFmtId="167" fontId="11" fillId="0" borderId="1" xfId="0" applyNumberFormat="1" applyFont="1" applyFill="1" applyBorder="1" applyAlignment="1" applyProtection="1">
      <alignment horizontal="right" vertical="center"/>
      <protection locked="0"/>
    </xf>
    <xf numFmtId="167" fontId="4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justify" vertical="center"/>
    </xf>
    <xf numFmtId="167" fontId="3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justify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1" xfId="4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3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 applyProtection="1">
      <alignment horizontal="right" vertical="center"/>
    </xf>
    <xf numFmtId="167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8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 wrapText="1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justify" vertical="center"/>
    </xf>
    <xf numFmtId="167" fontId="14" fillId="0" borderId="0" xfId="0" applyNumberFormat="1" applyFont="1" applyFill="1" applyBorder="1" applyAlignment="1">
      <alignment horizontal="justify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justify" vertical="center" wrapText="1"/>
    </xf>
    <xf numFmtId="167" fontId="8" fillId="2" borderId="1" xfId="0" applyNumberFormat="1" applyFont="1" applyFill="1" applyBorder="1" applyAlignment="1">
      <alignment horizontal="right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0" fontId="8" fillId="2" borderId="1" xfId="0" applyNumberFormat="1" applyFont="1" applyFill="1" applyBorder="1" applyAlignment="1">
      <alignment horizontal="justify" vertical="center"/>
    </xf>
    <xf numFmtId="49" fontId="8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Continuous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5" fontId="7" fillId="2" borderId="1" xfId="3" applyNumberFormat="1" applyFont="1" applyFill="1" applyBorder="1" applyAlignment="1">
      <alignment horizontal="right" vertical="center"/>
    </xf>
    <xf numFmtId="168" fontId="7" fillId="2" borderId="1" xfId="0" applyNumberFormat="1" applyFont="1" applyFill="1" applyBorder="1" applyAlignment="1">
      <alignment horizontal="right" vertical="center"/>
    </xf>
    <xf numFmtId="167" fontId="2" fillId="2" borderId="1" xfId="0" applyNumberFormat="1" applyFont="1" applyFill="1" applyBorder="1" applyAlignment="1">
      <alignment horizontal="right" vertical="center"/>
    </xf>
    <xf numFmtId="165" fontId="2" fillId="2" borderId="2" xfId="3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167" fontId="10" fillId="4" borderId="1" xfId="0" applyNumberFormat="1" applyFont="1" applyFill="1" applyBorder="1" applyAlignment="1" applyProtection="1">
      <alignment horizontal="right" vertical="center"/>
    </xf>
    <xf numFmtId="49" fontId="7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justify" vertical="center" wrapText="1"/>
    </xf>
    <xf numFmtId="167" fontId="7" fillId="2" borderId="1" xfId="0" applyNumberFormat="1" applyFont="1" applyFill="1" applyBorder="1" applyAlignment="1">
      <alignment horizontal="right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justify" vertical="center"/>
    </xf>
    <xf numFmtId="167" fontId="3" fillId="6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 applyProtection="1">
      <alignment horizontal="right" vertical="center"/>
    </xf>
    <xf numFmtId="167" fontId="11" fillId="4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center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167" fontId="7" fillId="6" borderId="1" xfId="0" applyNumberFormat="1" applyFont="1" applyFill="1" applyBorder="1" applyAlignment="1">
      <alignment horizontal="right" vertical="center" wrapText="1"/>
    </xf>
    <xf numFmtId="167" fontId="7" fillId="6" borderId="1" xfId="0" applyNumberFormat="1" applyFont="1" applyFill="1" applyBorder="1" applyAlignment="1">
      <alignment horizontal="right" vertical="center"/>
    </xf>
    <xf numFmtId="49" fontId="7" fillId="6" borderId="1" xfId="0" applyNumberFormat="1" applyFont="1" applyFill="1" applyBorder="1" applyAlignment="1">
      <alignment horizontal="justify" vertical="center" wrapText="1"/>
    </xf>
    <xf numFmtId="49" fontId="3" fillId="6" borderId="1" xfId="0" applyNumberFormat="1" applyFont="1" applyFill="1" applyBorder="1" applyAlignment="1">
      <alignment horizontal="center" vertical="center"/>
    </xf>
    <xf numFmtId="165" fontId="7" fillId="3" borderId="1" xfId="3" applyNumberFormat="1" applyFont="1" applyFill="1" applyBorder="1" applyAlignment="1">
      <alignment horizontal="right" vertical="center"/>
    </xf>
    <xf numFmtId="169" fontId="8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left" vertical="top"/>
      <protection locked="0"/>
    </xf>
    <xf numFmtId="167" fontId="8" fillId="2" borderId="1" xfId="0" applyNumberFormat="1" applyFont="1" applyFill="1" applyBorder="1" applyAlignment="1" applyProtection="1">
      <alignment horizontal="right" vertical="center"/>
    </xf>
    <xf numFmtId="165" fontId="8" fillId="3" borderId="1" xfId="3" applyNumberFormat="1" applyFont="1" applyFill="1" applyBorder="1" applyAlignment="1">
      <alignment horizontal="right" vertical="center"/>
    </xf>
    <xf numFmtId="165" fontId="2" fillId="2" borderId="2" xfId="3" applyNumberFormat="1" applyFont="1" applyFill="1" applyBorder="1" applyAlignment="1">
      <alignment horizontal="right" vertical="center"/>
    </xf>
    <xf numFmtId="165" fontId="10" fillId="2" borderId="1" xfId="0" applyNumberFormat="1" applyFont="1" applyFill="1" applyBorder="1" applyAlignment="1">
      <alignment horizontal="right" vertical="center"/>
    </xf>
    <xf numFmtId="168" fontId="11" fillId="2" borderId="1" xfId="0" applyNumberFormat="1" applyFont="1" applyFill="1" applyBorder="1" applyAlignment="1" applyProtection="1">
      <alignment horizontal="right" vertical="center"/>
    </xf>
    <xf numFmtId="168" fontId="10" fillId="2" borderId="1" xfId="0" applyNumberFormat="1" applyFont="1" applyFill="1" applyBorder="1" applyAlignment="1" applyProtection="1">
      <alignment horizontal="right" vertical="center"/>
    </xf>
    <xf numFmtId="167" fontId="2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167" fontId="7" fillId="7" borderId="1" xfId="0" applyNumberFormat="1" applyFont="1" applyFill="1" applyBorder="1" applyAlignment="1">
      <alignment horizontal="right" vertical="center"/>
    </xf>
    <xf numFmtId="167" fontId="4" fillId="5" borderId="1" xfId="0" applyNumberFormat="1" applyFont="1" applyFill="1" applyBorder="1" applyAlignment="1">
      <alignment horizontal="center" vertical="center" wrapText="1"/>
    </xf>
    <xf numFmtId="3" fontId="17" fillId="5" borderId="1" xfId="0" applyNumberFormat="1" applyFont="1" applyFill="1" applyBorder="1" applyAlignment="1">
      <alignment horizontal="center" vertical="center" wrapText="1"/>
    </xf>
    <xf numFmtId="167" fontId="10" fillId="5" borderId="1" xfId="0" applyNumberFormat="1" applyFont="1" applyFill="1" applyBorder="1" applyAlignment="1" applyProtection="1">
      <alignment horizontal="right" vertical="center"/>
    </xf>
    <xf numFmtId="167" fontId="11" fillId="5" borderId="1" xfId="0" applyNumberFormat="1" applyFont="1" applyFill="1" applyBorder="1" applyAlignment="1" applyProtection="1">
      <alignment horizontal="right" vertical="center"/>
    </xf>
    <xf numFmtId="167" fontId="11" fillId="5" borderId="1" xfId="0" applyNumberFormat="1" applyFont="1" applyFill="1" applyBorder="1" applyAlignment="1" applyProtection="1">
      <alignment horizontal="right" vertical="center"/>
      <protection locked="0"/>
    </xf>
    <xf numFmtId="167" fontId="11" fillId="5" borderId="1" xfId="0" applyNumberFormat="1" applyFont="1" applyFill="1" applyBorder="1" applyAlignment="1" applyProtection="1">
      <alignment horizontal="right" vertical="center" wrapText="1"/>
      <protection locked="0"/>
    </xf>
    <xf numFmtId="167" fontId="7" fillId="5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5" borderId="2" xfId="0" applyNumberFormat="1" applyFont="1" applyFill="1" applyBorder="1" applyAlignment="1" applyProtection="1">
      <alignment horizontal="right" vertical="center"/>
    </xf>
    <xf numFmtId="167" fontId="8" fillId="5" borderId="1" xfId="0" applyNumberFormat="1" applyFont="1" applyFill="1" applyBorder="1" applyAlignment="1" applyProtection="1">
      <alignment horizontal="right" vertical="center"/>
    </xf>
    <xf numFmtId="167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167" fontId="11" fillId="8" borderId="1" xfId="0" applyNumberFormat="1" applyFont="1" applyFill="1" applyBorder="1" applyAlignment="1" applyProtection="1">
      <alignment horizontal="right" vertical="center"/>
    </xf>
    <xf numFmtId="167" fontId="11" fillId="8" borderId="1" xfId="0" applyNumberFormat="1" applyFont="1" applyFill="1" applyBorder="1" applyAlignment="1" applyProtection="1">
      <alignment horizontal="right" vertical="center"/>
      <protection locked="0"/>
    </xf>
    <xf numFmtId="167" fontId="11" fillId="8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8" borderId="1" xfId="0" applyNumberFormat="1" applyFont="1" applyFill="1" applyBorder="1" applyAlignment="1" applyProtection="1">
      <alignment horizontal="right" vertical="center"/>
    </xf>
    <xf numFmtId="167" fontId="7" fillId="8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 applyProtection="1">
      <alignment horizontal="left" vertical="top" wrapText="1"/>
      <protection locked="0"/>
    </xf>
    <xf numFmtId="167" fontId="7" fillId="5" borderId="1" xfId="0" applyNumberFormat="1" applyFont="1" applyFill="1" applyBorder="1" applyAlignment="1">
      <alignment horizontal="right" vertical="center"/>
    </xf>
    <xf numFmtId="167" fontId="7" fillId="5" borderId="1" xfId="0" applyNumberFormat="1" applyFont="1" applyFill="1" applyBorder="1" applyAlignment="1">
      <alignment horizontal="right" vertical="center" wrapText="1"/>
    </xf>
    <xf numFmtId="167" fontId="2" fillId="5" borderId="1" xfId="0" applyNumberFormat="1" applyFont="1" applyFill="1" applyBorder="1" applyAlignment="1">
      <alignment horizontal="right" vertical="center"/>
    </xf>
    <xf numFmtId="49" fontId="3" fillId="5" borderId="1" xfId="0" applyNumberFormat="1" applyFont="1" applyFill="1" applyBorder="1" applyAlignment="1">
      <alignment horizontal="justify" vertical="center" wrapText="1"/>
    </xf>
    <xf numFmtId="167" fontId="2" fillId="5" borderId="2" xfId="0" applyNumberFormat="1" applyFont="1" applyFill="1" applyBorder="1" applyAlignment="1">
      <alignment horizontal="right" vertical="center"/>
    </xf>
    <xf numFmtId="167" fontId="8" fillId="5" borderId="1" xfId="0" applyNumberFormat="1" applyFont="1" applyFill="1" applyBorder="1" applyAlignment="1">
      <alignment horizontal="right" vertical="center"/>
    </xf>
    <xf numFmtId="167" fontId="3" fillId="8" borderId="1" xfId="0" applyNumberFormat="1" applyFont="1" applyFill="1" applyBorder="1" applyAlignment="1">
      <alignment horizontal="right" vertical="center"/>
    </xf>
    <xf numFmtId="167" fontId="7" fillId="8" borderId="1" xfId="0" applyNumberFormat="1" applyFont="1" applyFill="1" applyBorder="1" applyAlignment="1">
      <alignment horizontal="right" vertical="center"/>
    </xf>
    <xf numFmtId="167" fontId="7" fillId="8" borderId="1" xfId="0" applyNumberFormat="1" applyFont="1" applyFill="1" applyBorder="1" applyAlignment="1">
      <alignment horizontal="right" vertical="center" wrapText="1"/>
    </xf>
    <xf numFmtId="166" fontId="3" fillId="8" borderId="1" xfId="4" applyNumberFormat="1" applyFont="1" applyFill="1" applyBorder="1" applyAlignment="1">
      <alignment vertical="center"/>
    </xf>
    <xf numFmtId="167" fontId="2" fillId="8" borderId="1" xfId="0" applyNumberFormat="1" applyFont="1" applyFill="1" applyBorder="1" applyAlignment="1">
      <alignment horizontal="right" vertical="center"/>
    </xf>
    <xf numFmtId="167" fontId="3" fillId="8" borderId="1" xfId="0" applyNumberFormat="1" applyFont="1" applyFill="1" applyBorder="1" applyAlignment="1">
      <alignment horizontal="right" vertical="center" wrapText="1"/>
    </xf>
    <xf numFmtId="0" fontId="8" fillId="6" borderId="1" xfId="0" applyNumberFormat="1" applyFont="1" applyFill="1" applyBorder="1" applyAlignment="1">
      <alignment horizontal="justify" vertical="center"/>
    </xf>
    <xf numFmtId="165" fontId="22" fillId="2" borderId="1" xfId="3" applyNumberFormat="1" applyFont="1" applyFill="1" applyBorder="1" applyAlignment="1">
      <alignment horizontal="right" vertical="center"/>
    </xf>
    <xf numFmtId="168" fontId="22" fillId="2" borderId="1" xfId="0" applyNumberFormat="1" applyFont="1" applyFill="1" applyBorder="1" applyAlignment="1">
      <alignment horizontal="right" vertical="center"/>
    </xf>
    <xf numFmtId="167" fontId="22" fillId="2" borderId="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65" fontId="23" fillId="2" borderId="1" xfId="0" applyNumberFormat="1" applyFont="1" applyFill="1" applyBorder="1" applyAlignment="1">
      <alignment horizontal="right" vertical="center"/>
    </xf>
    <xf numFmtId="49" fontId="22" fillId="6" borderId="1" xfId="0" applyNumberFormat="1" applyFont="1" applyFill="1" applyBorder="1" applyAlignment="1">
      <alignment horizontal="center" vertical="center"/>
    </xf>
    <xf numFmtId="49" fontId="22" fillId="6" borderId="1" xfId="0" applyNumberFormat="1" applyFont="1" applyFill="1" applyBorder="1" applyAlignment="1">
      <alignment horizontal="justify" vertical="center"/>
    </xf>
    <xf numFmtId="167" fontId="22" fillId="6" borderId="1" xfId="0" applyNumberFormat="1" applyFont="1" applyFill="1" applyBorder="1" applyAlignment="1">
      <alignment horizontal="right" vertical="center"/>
    </xf>
    <xf numFmtId="167" fontId="10" fillId="6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wrapText="1"/>
    </xf>
    <xf numFmtId="167" fontId="2" fillId="0" borderId="2" xfId="0" applyNumberFormat="1" applyFont="1" applyFill="1" applyBorder="1" applyAlignment="1">
      <alignment horizontal="right" vertical="center"/>
    </xf>
    <xf numFmtId="164" fontId="3" fillId="8" borderId="1" xfId="3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167" fontId="8" fillId="0" borderId="1" xfId="0" applyNumberFormat="1" applyFont="1" applyFill="1" applyBorder="1" applyAlignment="1">
      <alignment horizontal="right" vertical="center" wrapText="1"/>
    </xf>
    <xf numFmtId="165" fontId="8" fillId="0" borderId="1" xfId="3" applyNumberFormat="1" applyFont="1" applyFill="1" applyBorder="1" applyAlignment="1">
      <alignment horizontal="right" vertical="center"/>
    </xf>
    <xf numFmtId="165" fontId="10" fillId="0" borderId="1" xfId="0" applyNumberFormat="1" applyFont="1" applyFill="1" applyBorder="1" applyAlignment="1">
      <alignment horizontal="right" vertical="center"/>
    </xf>
    <xf numFmtId="168" fontId="8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165" fontId="2" fillId="2" borderId="2" xfId="3" applyNumberFormat="1" applyFont="1" applyFill="1" applyBorder="1" applyAlignment="1">
      <alignment horizontal="right" vertical="center"/>
    </xf>
    <xf numFmtId="165" fontId="2" fillId="2" borderId="3" xfId="3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right" vertical="center"/>
    </xf>
    <xf numFmtId="168" fontId="2" fillId="2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8" fillId="2" borderId="2" xfId="0" applyNumberFormat="1" applyFont="1" applyFill="1" applyBorder="1" applyAlignment="1">
      <alignment horizontal="right" vertical="center"/>
    </xf>
    <xf numFmtId="167" fontId="8" fillId="2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5" borderId="2" xfId="0" applyNumberFormat="1" applyFont="1" applyFill="1" applyBorder="1" applyAlignment="1">
      <alignment horizontal="right" vertical="center"/>
    </xf>
    <xf numFmtId="167" fontId="2" fillId="5" borderId="3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7" fontId="2" fillId="0" borderId="3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7F9C2"/>
      <color rgb="FFFDE9D9"/>
      <color rgb="FFB7F8C2"/>
      <color rgb="FFB7FFC2"/>
      <color rgb="FF99FF99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M168"/>
  <sheetViews>
    <sheetView tabSelected="1" showRuler="0" zoomScale="110" zoomScaleNormal="110" zoomScaleSheetLayoutView="100" workbookViewId="0">
      <pane ySplit="5" topLeftCell="A6" activePane="bottomLeft" state="frozenSplit"/>
      <selection pane="bottomLeft" activeCell="B166" sqref="B166"/>
    </sheetView>
  </sheetViews>
  <sheetFormatPr defaultColWidth="9.140625" defaultRowHeight="13.5"/>
  <cols>
    <col min="1" max="1" width="18.7109375" style="33" customWidth="1"/>
    <col min="2" max="2" width="33.7109375" style="72" customWidth="1"/>
    <col min="3" max="3" width="13" style="72" customWidth="1"/>
    <col min="4" max="4" width="12.5703125" style="73" customWidth="1"/>
    <col min="5" max="5" width="9.5703125" style="74" customWidth="1"/>
    <col min="6" max="6" width="12.85546875" style="74" customWidth="1"/>
    <col min="7" max="7" width="10.28515625" style="74" customWidth="1"/>
    <col min="8" max="8" width="8.140625" style="74" customWidth="1"/>
    <col min="9" max="9" width="11.5703125" style="74" customWidth="1"/>
    <col min="10" max="10" width="9.5703125" style="74" customWidth="1"/>
    <col min="11" max="11" width="10.140625" style="74" customWidth="1"/>
    <col min="12" max="12" width="9.28515625" style="74" customWidth="1"/>
    <col min="13" max="16384" width="9.140625" style="2"/>
  </cols>
  <sheetData>
    <row r="1" spans="1:13">
      <c r="H1" s="213"/>
      <c r="I1" s="213"/>
      <c r="J1" s="213"/>
      <c r="K1" s="213"/>
      <c r="L1" s="213"/>
    </row>
    <row r="2" spans="1:13" ht="16.5">
      <c r="A2" s="216" t="s">
        <v>181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75"/>
    </row>
    <row r="3" spans="1:13">
      <c r="A3" s="76"/>
      <c r="B3" s="77"/>
      <c r="C3" s="77"/>
      <c r="D3" s="78"/>
      <c r="E3" s="79"/>
      <c r="F3" s="13"/>
      <c r="G3" s="13"/>
      <c r="L3" s="33" t="s">
        <v>143</v>
      </c>
    </row>
    <row r="4" spans="1:13" s="12" customFormat="1" ht="76.5">
      <c r="A4" s="15" t="s">
        <v>17</v>
      </c>
      <c r="B4" s="4" t="s">
        <v>19</v>
      </c>
      <c r="C4" s="156" t="s">
        <v>78</v>
      </c>
      <c r="D4" s="30" t="s">
        <v>182</v>
      </c>
      <c r="E4" s="3" t="s">
        <v>183</v>
      </c>
      <c r="F4" s="166" t="s">
        <v>170</v>
      </c>
      <c r="G4" s="3" t="s">
        <v>184</v>
      </c>
      <c r="H4" s="110" t="s">
        <v>185</v>
      </c>
      <c r="I4" s="110" t="s">
        <v>162</v>
      </c>
      <c r="J4" s="109" t="s">
        <v>18</v>
      </c>
      <c r="K4" s="110" t="s">
        <v>10</v>
      </c>
      <c r="L4" s="111" t="s">
        <v>186</v>
      </c>
    </row>
    <row r="5" spans="1:13" s="47" customFormat="1" ht="11.25">
      <c r="A5" s="46">
        <v>1</v>
      </c>
      <c r="B5" s="80" t="s">
        <v>79</v>
      </c>
      <c r="C5" s="157">
        <v>3</v>
      </c>
      <c r="D5" s="48">
        <v>4</v>
      </c>
      <c r="E5" s="46">
        <v>5</v>
      </c>
      <c r="F5" s="167">
        <v>6</v>
      </c>
      <c r="G5" s="46">
        <v>7</v>
      </c>
      <c r="H5" s="113">
        <v>10</v>
      </c>
      <c r="I5" s="113">
        <v>11</v>
      </c>
      <c r="J5" s="112">
        <v>12</v>
      </c>
      <c r="K5" s="113">
        <v>13</v>
      </c>
      <c r="L5" s="114">
        <v>14</v>
      </c>
    </row>
    <row r="6" spans="1:13" s="14" customFormat="1" ht="33">
      <c r="A6" s="51" t="s">
        <v>27</v>
      </c>
      <c r="B6" s="175" t="s">
        <v>214</v>
      </c>
      <c r="C6" s="158">
        <f>C7+C22</f>
        <v>590513.69999999995</v>
      </c>
      <c r="D6" s="158">
        <f t="shared" ref="D6:G6" si="0">D7+D22</f>
        <v>607754.4</v>
      </c>
      <c r="E6" s="158">
        <f t="shared" si="0"/>
        <v>122739.4</v>
      </c>
      <c r="F6" s="158">
        <f t="shared" si="0"/>
        <v>107937.9</v>
      </c>
      <c r="G6" s="158">
        <f t="shared" si="0"/>
        <v>120483</v>
      </c>
      <c r="H6" s="148">
        <f t="shared" ref="H6:H33" si="1">G6/Всего_доходов_2003</f>
        <v>0.98199999999999998</v>
      </c>
      <c r="I6" s="150">
        <f>IF(E6=0,"0,0%",G6/E6)</f>
        <v>0.98199999999999998</v>
      </c>
      <c r="J6" s="99">
        <f>G6-D6</f>
        <v>-487271.4</v>
      </c>
      <c r="K6" s="98">
        <f>G6/D6</f>
        <v>0.19800000000000001</v>
      </c>
      <c r="L6" s="123">
        <f>G6-F6</f>
        <v>12545.1</v>
      </c>
      <c r="M6" s="24"/>
    </row>
    <row r="7" spans="1:13" s="14" customFormat="1">
      <c r="A7" s="51"/>
      <c r="B7" s="52" t="s">
        <v>11</v>
      </c>
      <c r="C7" s="158">
        <f>C9+C11+C13+C16</f>
        <v>512008.9</v>
      </c>
      <c r="D7" s="158">
        <f t="shared" ref="D7:G7" si="2">D9+D11+D13+D16</f>
        <v>529249.6</v>
      </c>
      <c r="E7" s="158">
        <f t="shared" si="2"/>
        <v>104656.4</v>
      </c>
      <c r="F7" s="158">
        <f t="shared" si="2"/>
        <v>84054.3</v>
      </c>
      <c r="G7" s="158">
        <f t="shared" si="2"/>
        <v>102639.2</v>
      </c>
      <c r="H7" s="148">
        <f t="shared" si="1"/>
        <v>0.83699999999999997</v>
      </c>
      <c r="I7" s="150">
        <f t="shared" ref="I7:I47" si="3">IF(E7=0,"0,0%",G7/E7)</f>
        <v>0.98099999999999998</v>
      </c>
      <c r="J7" s="99">
        <f t="shared" ref="J7:J39" si="4">G7-D7</f>
        <v>-426610.4</v>
      </c>
      <c r="K7" s="98">
        <f t="shared" ref="K7:K39" si="5">G7/D7</f>
        <v>0.19400000000000001</v>
      </c>
      <c r="L7" s="123">
        <f>G7-F7</f>
        <v>18584.900000000001</v>
      </c>
      <c r="M7" s="24"/>
    </row>
    <row r="8" spans="1:13" s="14" customFormat="1">
      <c r="A8" s="51" t="s">
        <v>28</v>
      </c>
      <c r="B8" s="52" t="s">
        <v>29</v>
      </c>
      <c r="C8" s="158">
        <f>SUM(C9)</f>
        <v>265915</v>
      </c>
      <c r="D8" s="158">
        <f t="shared" ref="D8:G8" si="6">SUM(D9)</f>
        <v>283155.7</v>
      </c>
      <c r="E8" s="158">
        <f t="shared" si="6"/>
        <v>55662.3</v>
      </c>
      <c r="F8" s="158">
        <f t="shared" si="6"/>
        <v>43708</v>
      </c>
      <c r="G8" s="158">
        <f t="shared" si="6"/>
        <v>53992.800000000003</v>
      </c>
      <c r="H8" s="148">
        <f t="shared" si="1"/>
        <v>0.44</v>
      </c>
      <c r="I8" s="150">
        <f t="shared" si="3"/>
        <v>0.97</v>
      </c>
      <c r="J8" s="99">
        <f t="shared" si="4"/>
        <v>-229162.9</v>
      </c>
      <c r="K8" s="98">
        <f t="shared" si="5"/>
        <v>0.191</v>
      </c>
      <c r="L8" s="123">
        <f>SUM(L9)</f>
        <v>10284.799999999999</v>
      </c>
      <c r="M8" s="24"/>
    </row>
    <row r="9" spans="1:13" s="14" customFormat="1">
      <c r="A9" s="51" t="s">
        <v>30</v>
      </c>
      <c r="B9" s="122" t="s">
        <v>12</v>
      </c>
      <c r="C9" s="158">
        <f>C10</f>
        <v>265915</v>
      </c>
      <c r="D9" s="158">
        <f t="shared" ref="D9:G9" si="7">D10</f>
        <v>283155.7</v>
      </c>
      <c r="E9" s="158">
        <f t="shared" si="7"/>
        <v>55662.3</v>
      </c>
      <c r="F9" s="158">
        <f t="shared" si="7"/>
        <v>43708</v>
      </c>
      <c r="G9" s="158">
        <f t="shared" si="7"/>
        <v>53992.800000000003</v>
      </c>
      <c r="H9" s="148">
        <f t="shared" si="1"/>
        <v>0.44</v>
      </c>
      <c r="I9" s="150">
        <f t="shared" si="3"/>
        <v>0.97</v>
      </c>
      <c r="J9" s="99">
        <f t="shared" si="4"/>
        <v>-229162.9</v>
      </c>
      <c r="K9" s="98">
        <f t="shared" si="5"/>
        <v>0.191</v>
      </c>
      <c r="L9" s="123">
        <f>G9-F9</f>
        <v>10284.799999999999</v>
      </c>
      <c r="M9" s="24"/>
    </row>
    <row r="10" spans="1:13" s="14" customFormat="1" ht="83.25">
      <c r="A10" s="53" t="s">
        <v>144</v>
      </c>
      <c r="B10" s="55" t="s">
        <v>163</v>
      </c>
      <c r="C10" s="159">
        <v>265915</v>
      </c>
      <c r="D10" s="135">
        <v>283155.7</v>
      </c>
      <c r="E10" s="135">
        <v>55662.3</v>
      </c>
      <c r="F10" s="168">
        <v>43708</v>
      </c>
      <c r="G10" s="135">
        <v>53992.800000000003</v>
      </c>
      <c r="H10" s="144">
        <f t="shared" si="1"/>
        <v>0.44</v>
      </c>
      <c r="I10" s="150">
        <f t="shared" si="3"/>
        <v>0.97</v>
      </c>
      <c r="J10" s="116">
        <f t="shared" si="4"/>
        <v>-229162.9</v>
      </c>
      <c r="K10" s="115">
        <f t="shared" si="5"/>
        <v>0.191</v>
      </c>
      <c r="L10" s="123">
        <f>G10-F10</f>
        <v>10284.799999999999</v>
      </c>
      <c r="M10" s="24"/>
    </row>
    <row r="11" spans="1:13" s="14" customFormat="1" ht="40.5">
      <c r="A11" s="51" t="s">
        <v>209</v>
      </c>
      <c r="B11" s="58" t="s">
        <v>215</v>
      </c>
      <c r="C11" s="158">
        <f>C12</f>
        <v>16120.2</v>
      </c>
      <c r="D11" s="158">
        <f t="shared" ref="D11:G11" si="8">D12</f>
        <v>16120.2</v>
      </c>
      <c r="E11" s="158">
        <f t="shared" si="8"/>
        <v>3723.1</v>
      </c>
      <c r="F11" s="158">
        <f t="shared" si="8"/>
        <v>0</v>
      </c>
      <c r="G11" s="158">
        <f t="shared" si="8"/>
        <v>3644.4</v>
      </c>
      <c r="H11" s="144">
        <f t="shared" si="1"/>
        <v>0.03</v>
      </c>
      <c r="I11" s="150">
        <f t="shared" si="3"/>
        <v>0.97899999999999998</v>
      </c>
      <c r="J11" s="116">
        <f t="shared" si="4"/>
        <v>-12475.8</v>
      </c>
      <c r="K11" s="115">
        <f t="shared" si="5"/>
        <v>0.22600000000000001</v>
      </c>
      <c r="L11" s="123">
        <f>G11-F11</f>
        <v>3644.4</v>
      </c>
      <c r="M11" s="24"/>
    </row>
    <row r="12" spans="1:13" s="14" customFormat="1" ht="40.5">
      <c r="A12" s="53" t="s">
        <v>210</v>
      </c>
      <c r="B12" s="208" t="s">
        <v>216</v>
      </c>
      <c r="C12" s="159">
        <v>16120.2</v>
      </c>
      <c r="D12" s="135">
        <v>16120.2</v>
      </c>
      <c r="E12" s="135">
        <v>3723.1</v>
      </c>
      <c r="F12" s="168">
        <v>0</v>
      </c>
      <c r="G12" s="135">
        <v>3644.4</v>
      </c>
      <c r="H12" s="144">
        <f t="shared" si="1"/>
        <v>0.03</v>
      </c>
      <c r="I12" s="150">
        <f t="shared" si="3"/>
        <v>0.97899999999999998</v>
      </c>
      <c r="J12" s="116">
        <f t="shared" si="4"/>
        <v>-12475.8</v>
      </c>
      <c r="K12" s="115">
        <f t="shared" si="5"/>
        <v>0.22600000000000001</v>
      </c>
      <c r="L12" s="123">
        <f t="shared" ref="L12:L47" si="9">G12-F12</f>
        <v>3644.4</v>
      </c>
      <c r="M12" s="24"/>
    </row>
    <row r="13" spans="1:13" s="21" customFormat="1">
      <c r="A13" s="51" t="s">
        <v>99</v>
      </c>
      <c r="B13" s="58" t="s">
        <v>13</v>
      </c>
      <c r="C13" s="158">
        <f>SUM(C14)</f>
        <v>671</v>
      </c>
      <c r="D13" s="158">
        <f t="shared" ref="D13:G13" si="10">SUM(D14)</f>
        <v>671</v>
      </c>
      <c r="E13" s="158">
        <f t="shared" si="10"/>
        <v>671</v>
      </c>
      <c r="F13" s="158">
        <f t="shared" si="10"/>
        <v>119.4</v>
      </c>
      <c r="G13" s="158">
        <f t="shared" si="10"/>
        <v>666</v>
      </c>
      <c r="H13" s="148">
        <f t="shared" si="1"/>
        <v>5.0000000000000001E-3</v>
      </c>
      <c r="I13" s="150">
        <f t="shared" si="3"/>
        <v>0.99299999999999999</v>
      </c>
      <c r="J13" s="99">
        <f t="shared" si="4"/>
        <v>-5</v>
      </c>
      <c r="K13" s="98">
        <f t="shared" si="5"/>
        <v>0.99299999999999999</v>
      </c>
      <c r="L13" s="123">
        <f t="shared" si="9"/>
        <v>546.6</v>
      </c>
      <c r="M13" s="25"/>
    </row>
    <row r="14" spans="1:13" s="21" customFormat="1">
      <c r="A14" s="51" t="s">
        <v>31</v>
      </c>
      <c r="B14" s="52" t="s">
        <v>0</v>
      </c>
      <c r="C14" s="158">
        <f>C15</f>
        <v>671</v>
      </c>
      <c r="D14" s="158">
        <f t="shared" ref="D14:G14" si="11">D15</f>
        <v>671</v>
      </c>
      <c r="E14" s="158">
        <f t="shared" si="11"/>
        <v>671</v>
      </c>
      <c r="F14" s="158">
        <f t="shared" si="11"/>
        <v>119.4</v>
      </c>
      <c r="G14" s="158">
        <f t="shared" si="11"/>
        <v>666</v>
      </c>
      <c r="H14" s="148">
        <f t="shared" si="1"/>
        <v>5.0000000000000001E-3</v>
      </c>
      <c r="I14" s="150">
        <f t="shared" si="3"/>
        <v>0.99299999999999999</v>
      </c>
      <c r="J14" s="99">
        <f t="shared" si="4"/>
        <v>-5</v>
      </c>
      <c r="K14" s="98">
        <f t="shared" si="5"/>
        <v>0.99299999999999999</v>
      </c>
      <c r="L14" s="123">
        <f t="shared" si="9"/>
        <v>546.6</v>
      </c>
      <c r="M14" s="25"/>
    </row>
    <row r="15" spans="1:13" s="21" customFormat="1">
      <c r="A15" s="53" t="s">
        <v>87</v>
      </c>
      <c r="B15" s="55" t="s">
        <v>0</v>
      </c>
      <c r="C15" s="160">
        <v>671</v>
      </c>
      <c r="D15" s="29">
        <v>671</v>
      </c>
      <c r="E15" s="29">
        <v>671</v>
      </c>
      <c r="F15" s="169">
        <v>119.4</v>
      </c>
      <c r="G15" s="29">
        <v>666</v>
      </c>
      <c r="H15" s="144">
        <f t="shared" si="1"/>
        <v>5.0000000000000001E-3</v>
      </c>
      <c r="I15" s="150">
        <f t="shared" si="3"/>
        <v>0.99299999999999999</v>
      </c>
      <c r="J15" s="116">
        <f t="shared" si="4"/>
        <v>-5</v>
      </c>
      <c r="K15" s="115">
        <f t="shared" si="5"/>
        <v>0.99299999999999999</v>
      </c>
      <c r="L15" s="123">
        <f t="shared" si="9"/>
        <v>546.6</v>
      </c>
      <c r="M15" s="25"/>
    </row>
    <row r="16" spans="1:13" s="21" customFormat="1">
      <c r="A16" s="51" t="s">
        <v>100</v>
      </c>
      <c r="B16" s="52" t="s">
        <v>14</v>
      </c>
      <c r="C16" s="158">
        <f>SUM(C17+C19)</f>
        <v>229302.7</v>
      </c>
      <c r="D16" s="158">
        <f t="shared" ref="D16:G16" si="12">SUM(D17+D19)</f>
        <v>229302.7</v>
      </c>
      <c r="E16" s="158">
        <f t="shared" si="12"/>
        <v>44600</v>
      </c>
      <c r="F16" s="158">
        <f t="shared" si="12"/>
        <v>40226.9</v>
      </c>
      <c r="G16" s="158">
        <f t="shared" si="12"/>
        <v>44336</v>
      </c>
      <c r="H16" s="148">
        <f t="shared" si="1"/>
        <v>0.36099999999999999</v>
      </c>
      <c r="I16" s="150">
        <f t="shared" si="3"/>
        <v>0.99399999999999999</v>
      </c>
      <c r="J16" s="99">
        <f t="shared" si="4"/>
        <v>-184966.7</v>
      </c>
      <c r="K16" s="98">
        <f t="shared" si="5"/>
        <v>0.193</v>
      </c>
      <c r="L16" s="123">
        <f t="shared" si="9"/>
        <v>4109.1000000000004</v>
      </c>
      <c r="M16" s="25"/>
    </row>
    <row r="17" spans="1:13" s="27" customFormat="1">
      <c r="A17" s="51" t="s">
        <v>35</v>
      </c>
      <c r="B17" s="52" t="s">
        <v>34</v>
      </c>
      <c r="C17" s="158">
        <f>C18</f>
        <v>77758</v>
      </c>
      <c r="D17" s="158">
        <f t="shared" ref="D17:G17" si="13">D18</f>
        <v>77758</v>
      </c>
      <c r="E17" s="158">
        <f t="shared" si="13"/>
        <v>6100</v>
      </c>
      <c r="F17" s="158">
        <f t="shared" si="13"/>
        <v>6847.3</v>
      </c>
      <c r="G17" s="158">
        <f t="shared" si="13"/>
        <v>5909</v>
      </c>
      <c r="H17" s="148">
        <f t="shared" si="1"/>
        <v>4.8000000000000001E-2</v>
      </c>
      <c r="I17" s="150">
        <f t="shared" si="3"/>
        <v>0.96899999999999997</v>
      </c>
      <c r="J17" s="99">
        <f t="shared" si="4"/>
        <v>-71849</v>
      </c>
      <c r="K17" s="98">
        <f t="shared" si="5"/>
        <v>7.5999999999999998E-2</v>
      </c>
      <c r="L17" s="123">
        <f t="shared" si="9"/>
        <v>-938.3</v>
      </c>
      <c r="M17" s="26"/>
    </row>
    <row r="18" spans="1:13" s="21" customFormat="1" ht="54">
      <c r="A18" s="53" t="s">
        <v>32</v>
      </c>
      <c r="B18" s="55" t="s">
        <v>38</v>
      </c>
      <c r="C18" s="161">
        <v>77758</v>
      </c>
      <c r="D18" s="71">
        <v>77758</v>
      </c>
      <c r="E18" s="71">
        <v>6100</v>
      </c>
      <c r="F18" s="170">
        <v>6847.3</v>
      </c>
      <c r="G18" s="71">
        <v>5909</v>
      </c>
      <c r="H18" s="144">
        <f t="shared" si="1"/>
        <v>4.8000000000000001E-2</v>
      </c>
      <c r="I18" s="150">
        <f t="shared" si="3"/>
        <v>0.96899999999999997</v>
      </c>
      <c r="J18" s="116">
        <f t="shared" si="4"/>
        <v>-71849</v>
      </c>
      <c r="K18" s="115">
        <f t="shared" si="5"/>
        <v>7.5999999999999998E-2</v>
      </c>
      <c r="L18" s="123">
        <f t="shared" si="9"/>
        <v>-938.3</v>
      </c>
      <c r="M18" s="25"/>
    </row>
    <row r="19" spans="1:13" s="27" customFormat="1">
      <c r="A19" s="51" t="s">
        <v>33</v>
      </c>
      <c r="B19" s="52" t="s">
        <v>15</v>
      </c>
      <c r="C19" s="158">
        <f>SUM(C20:C21)</f>
        <v>151544.70000000001</v>
      </c>
      <c r="D19" s="158">
        <f t="shared" ref="D19:G19" si="14">SUM(D20:D21)</f>
        <v>151544.70000000001</v>
      </c>
      <c r="E19" s="158">
        <f t="shared" si="14"/>
        <v>38500</v>
      </c>
      <c r="F19" s="158">
        <f t="shared" si="14"/>
        <v>33379.599999999999</v>
      </c>
      <c r="G19" s="158">
        <f t="shared" si="14"/>
        <v>38427</v>
      </c>
      <c r="H19" s="148">
        <f t="shared" si="1"/>
        <v>0.313</v>
      </c>
      <c r="I19" s="150">
        <f t="shared" si="3"/>
        <v>0.998</v>
      </c>
      <c r="J19" s="99">
        <f t="shared" si="4"/>
        <v>-113117.7</v>
      </c>
      <c r="K19" s="98">
        <f t="shared" si="5"/>
        <v>0.254</v>
      </c>
      <c r="L19" s="123">
        <f t="shared" si="9"/>
        <v>5047.3999999999996</v>
      </c>
      <c r="M19" s="26"/>
    </row>
    <row r="20" spans="1:13" s="27" customFormat="1" ht="81">
      <c r="A20" s="53" t="s">
        <v>36</v>
      </c>
      <c r="B20" s="55" t="s">
        <v>39</v>
      </c>
      <c r="C20" s="161">
        <v>24000</v>
      </c>
      <c r="D20" s="71">
        <v>24000</v>
      </c>
      <c r="E20" s="71">
        <v>8900</v>
      </c>
      <c r="F20" s="170">
        <v>1636.2</v>
      </c>
      <c r="G20" s="71">
        <v>8823</v>
      </c>
      <c r="H20" s="144">
        <f t="shared" si="1"/>
        <v>7.1999999999999995E-2</v>
      </c>
      <c r="I20" s="150">
        <f t="shared" si="3"/>
        <v>0.99099999999999999</v>
      </c>
      <c r="J20" s="116">
        <f t="shared" si="4"/>
        <v>-15177</v>
      </c>
      <c r="K20" s="115">
        <f t="shared" si="5"/>
        <v>0.36799999999999999</v>
      </c>
      <c r="L20" s="123">
        <f t="shared" si="9"/>
        <v>7186.8</v>
      </c>
      <c r="M20" s="26"/>
    </row>
    <row r="21" spans="1:13" s="21" customFormat="1" ht="81">
      <c r="A21" s="53" t="s">
        <v>37</v>
      </c>
      <c r="B21" s="55" t="s">
        <v>40</v>
      </c>
      <c r="C21" s="161">
        <v>127544.7</v>
      </c>
      <c r="D21" s="71">
        <v>127544.7</v>
      </c>
      <c r="E21" s="71">
        <v>29600</v>
      </c>
      <c r="F21" s="170">
        <v>31743.4</v>
      </c>
      <c r="G21" s="71">
        <v>29604</v>
      </c>
      <c r="H21" s="144">
        <f t="shared" si="1"/>
        <v>0.24099999999999999</v>
      </c>
      <c r="I21" s="150">
        <f t="shared" si="3"/>
        <v>1</v>
      </c>
      <c r="J21" s="116">
        <f t="shared" si="4"/>
        <v>-97940.7</v>
      </c>
      <c r="K21" s="115">
        <f t="shared" si="5"/>
        <v>0.23200000000000001</v>
      </c>
      <c r="L21" s="123">
        <f t="shared" si="9"/>
        <v>-2139.4</v>
      </c>
      <c r="M21" s="25"/>
    </row>
    <row r="22" spans="1:13" s="27" customFormat="1">
      <c r="A22" s="51"/>
      <c r="B22" s="52" t="s">
        <v>16</v>
      </c>
      <c r="C22" s="158">
        <f>C23+C28+C35+C32</f>
        <v>78504.800000000003</v>
      </c>
      <c r="D22" s="158">
        <f t="shared" ref="D22:G22" si="15">D23+D28+D35+D32</f>
        <v>78504.800000000003</v>
      </c>
      <c r="E22" s="158">
        <f t="shared" si="15"/>
        <v>18083</v>
      </c>
      <c r="F22" s="158">
        <f t="shared" si="15"/>
        <v>23883.599999999999</v>
      </c>
      <c r="G22" s="158">
        <f t="shared" si="15"/>
        <v>17843.8</v>
      </c>
      <c r="H22" s="148">
        <f t="shared" si="1"/>
        <v>0.14499999999999999</v>
      </c>
      <c r="I22" s="150">
        <f t="shared" si="3"/>
        <v>0.98699999999999999</v>
      </c>
      <c r="J22" s="99">
        <f t="shared" si="4"/>
        <v>-60661</v>
      </c>
      <c r="K22" s="98">
        <f t="shared" si="5"/>
        <v>0.22700000000000001</v>
      </c>
      <c r="L22" s="123">
        <f t="shared" si="9"/>
        <v>-6039.8</v>
      </c>
      <c r="M22" s="26"/>
    </row>
    <row r="23" spans="1:13" s="21" customFormat="1" ht="54">
      <c r="A23" s="51" t="s">
        <v>42</v>
      </c>
      <c r="B23" s="52" t="s">
        <v>1</v>
      </c>
      <c r="C23" s="197">
        <f>SUM(C24:C27)</f>
        <v>69987</v>
      </c>
      <c r="D23" s="197">
        <f t="shared" ref="D23:G23" si="16">SUM(D24:D27)</f>
        <v>69987</v>
      </c>
      <c r="E23" s="197">
        <f t="shared" si="16"/>
        <v>15956.6</v>
      </c>
      <c r="F23" s="197">
        <f t="shared" si="16"/>
        <v>21904.799999999999</v>
      </c>
      <c r="G23" s="197">
        <f t="shared" si="16"/>
        <v>15588.2</v>
      </c>
      <c r="H23" s="148">
        <f t="shared" si="1"/>
        <v>0.127</v>
      </c>
      <c r="I23" s="150">
        <f t="shared" si="3"/>
        <v>0.97699999999999998</v>
      </c>
      <c r="J23" s="99">
        <f t="shared" si="4"/>
        <v>-54398.8</v>
      </c>
      <c r="K23" s="98">
        <f t="shared" si="5"/>
        <v>0.223</v>
      </c>
      <c r="L23" s="123">
        <f t="shared" si="9"/>
        <v>-6316.6</v>
      </c>
      <c r="M23" s="25"/>
    </row>
    <row r="24" spans="1:13" s="21" customFormat="1" ht="94.5">
      <c r="A24" s="53" t="s">
        <v>140</v>
      </c>
      <c r="B24" s="55" t="s">
        <v>45</v>
      </c>
      <c r="C24" s="161">
        <v>64250</v>
      </c>
      <c r="D24" s="29">
        <v>64250</v>
      </c>
      <c r="E24" s="71">
        <v>14600</v>
      </c>
      <c r="F24" s="170">
        <v>20383.599999999999</v>
      </c>
      <c r="G24" s="71">
        <v>14240.1</v>
      </c>
      <c r="H24" s="144">
        <f t="shared" si="1"/>
        <v>0.11600000000000001</v>
      </c>
      <c r="I24" s="150">
        <f t="shared" si="3"/>
        <v>0.97499999999999998</v>
      </c>
      <c r="J24" s="116">
        <f t="shared" si="4"/>
        <v>-50009.9</v>
      </c>
      <c r="K24" s="115">
        <f t="shared" si="5"/>
        <v>0.222</v>
      </c>
      <c r="L24" s="123">
        <f t="shared" si="9"/>
        <v>-6143.5</v>
      </c>
      <c r="M24" s="25"/>
    </row>
    <row r="25" spans="1:13" s="21" customFormat="1" ht="40.5">
      <c r="A25" s="53" t="s">
        <v>173</v>
      </c>
      <c r="B25" s="55" t="s">
        <v>174</v>
      </c>
      <c r="C25" s="161">
        <v>3786.5</v>
      </c>
      <c r="D25" s="29">
        <v>3786.5</v>
      </c>
      <c r="E25" s="71">
        <v>946.6</v>
      </c>
      <c r="F25" s="170">
        <v>1035.8</v>
      </c>
      <c r="G25" s="71">
        <v>953</v>
      </c>
      <c r="H25" s="144">
        <f t="shared" ref="H25" si="17">G25/Всего_доходов_2003</f>
        <v>8.0000000000000002E-3</v>
      </c>
      <c r="I25" s="150">
        <f t="shared" ref="I25" si="18">IF(E25=0,"0,0%",G25/E25)</f>
        <v>1.0069999999999999</v>
      </c>
      <c r="J25" s="116">
        <f t="shared" ref="J25" si="19">G25-D25</f>
        <v>-2833.5</v>
      </c>
      <c r="K25" s="115">
        <f>G25/D25</f>
        <v>0.252</v>
      </c>
      <c r="L25" s="123">
        <f t="shared" si="9"/>
        <v>-82.8</v>
      </c>
      <c r="M25" s="25"/>
    </row>
    <row r="26" spans="1:13" s="21" customFormat="1" ht="67.5">
      <c r="A26" s="53" t="s">
        <v>175</v>
      </c>
      <c r="B26" s="55" t="s">
        <v>160</v>
      </c>
      <c r="C26" s="161">
        <v>0</v>
      </c>
      <c r="D26" s="29">
        <v>0</v>
      </c>
      <c r="E26" s="71">
        <v>0</v>
      </c>
      <c r="F26" s="170">
        <v>0</v>
      </c>
      <c r="G26" s="71">
        <v>0</v>
      </c>
      <c r="H26" s="144">
        <f t="shared" si="1"/>
        <v>0</v>
      </c>
      <c r="I26" s="150" t="str">
        <f t="shared" si="3"/>
        <v>0,0%</v>
      </c>
      <c r="J26" s="116">
        <f t="shared" si="4"/>
        <v>0</v>
      </c>
      <c r="K26" s="115" t="e">
        <f t="shared" si="5"/>
        <v>#DIV/0!</v>
      </c>
      <c r="L26" s="123">
        <f t="shared" si="9"/>
        <v>0</v>
      </c>
      <c r="M26" s="25"/>
    </row>
    <row r="27" spans="1:13" s="27" customFormat="1" ht="94.5">
      <c r="A27" s="16" t="s">
        <v>176</v>
      </c>
      <c r="B27" s="54" t="s">
        <v>88</v>
      </c>
      <c r="C27" s="162">
        <v>1950.5</v>
      </c>
      <c r="D27" s="29">
        <v>1950.5</v>
      </c>
      <c r="E27" s="43">
        <v>410</v>
      </c>
      <c r="F27" s="172">
        <v>485.4</v>
      </c>
      <c r="G27" s="43">
        <v>395.1</v>
      </c>
      <c r="H27" s="144">
        <f t="shared" si="1"/>
        <v>3.0000000000000001E-3</v>
      </c>
      <c r="I27" s="150">
        <f t="shared" si="3"/>
        <v>0.96399999999999997</v>
      </c>
      <c r="J27" s="116">
        <f t="shared" si="4"/>
        <v>-1555.4</v>
      </c>
      <c r="K27" s="115">
        <f t="shared" si="5"/>
        <v>0.20300000000000001</v>
      </c>
      <c r="L27" s="123">
        <f t="shared" si="9"/>
        <v>-90.3</v>
      </c>
      <c r="M27" s="26"/>
    </row>
    <row r="28" spans="1:13" s="21" customFormat="1" ht="27">
      <c r="A28" s="59" t="s">
        <v>41</v>
      </c>
      <c r="B28" s="60" t="s">
        <v>2</v>
      </c>
      <c r="C28" s="163">
        <f>SUM(C29:C31)</f>
        <v>8497.7999999999993</v>
      </c>
      <c r="D28" s="163">
        <f t="shared" ref="D28:G28" si="20">SUM(D29:D31)</f>
        <v>8497.7999999999993</v>
      </c>
      <c r="E28" s="163">
        <f t="shared" si="20"/>
        <v>2124.4</v>
      </c>
      <c r="F28" s="163">
        <f t="shared" si="20"/>
        <v>1978.8</v>
      </c>
      <c r="G28" s="163">
        <f t="shared" si="20"/>
        <v>2262.1999999999998</v>
      </c>
      <c r="H28" s="148">
        <f t="shared" si="1"/>
        <v>1.7999999999999999E-2</v>
      </c>
      <c r="I28" s="150">
        <f t="shared" si="3"/>
        <v>1.0649999999999999</v>
      </c>
      <c r="J28" s="99">
        <f t="shared" si="4"/>
        <v>-6235.6</v>
      </c>
      <c r="K28" s="98">
        <f t="shared" si="5"/>
        <v>0.26600000000000001</v>
      </c>
      <c r="L28" s="123">
        <f t="shared" si="9"/>
        <v>283.39999999999998</v>
      </c>
      <c r="M28" s="25"/>
    </row>
    <row r="29" spans="1:13" s="21" customFormat="1" ht="108">
      <c r="A29" s="16" t="s">
        <v>141</v>
      </c>
      <c r="B29" s="54" t="s">
        <v>130</v>
      </c>
      <c r="C29" s="162">
        <v>2272.8000000000002</v>
      </c>
      <c r="D29" s="29">
        <v>2272.8000000000002</v>
      </c>
      <c r="E29" s="43">
        <v>568.20000000000005</v>
      </c>
      <c r="F29" s="172">
        <v>962.9</v>
      </c>
      <c r="G29" s="43">
        <v>606.79999999999995</v>
      </c>
      <c r="H29" s="144">
        <f t="shared" si="1"/>
        <v>5.0000000000000001E-3</v>
      </c>
      <c r="I29" s="150">
        <f t="shared" si="3"/>
        <v>1.0680000000000001</v>
      </c>
      <c r="J29" s="116">
        <f t="shared" si="4"/>
        <v>-1666</v>
      </c>
      <c r="K29" s="115">
        <f t="shared" si="5"/>
        <v>0.26700000000000002</v>
      </c>
      <c r="L29" s="123">
        <f t="shared" si="9"/>
        <v>-356.1</v>
      </c>
      <c r="M29" s="25"/>
    </row>
    <row r="30" spans="1:13" s="21" customFormat="1" ht="54">
      <c r="A30" s="16" t="s">
        <v>142</v>
      </c>
      <c r="B30" s="54" t="s">
        <v>46</v>
      </c>
      <c r="C30" s="162">
        <v>6225</v>
      </c>
      <c r="D30" s="29">
        <v>6225</v>
      </c>
      <c r="E30" s="43">
        <v>1556.2</v>
      </c>
      <c r="F30" s="172">
        <v>925.9</v>
      </c>
      <c r="G30" s="43">
        <v>1655.4</v>
      </c>
      <c r="H30" s="144">
        <f t="shared" si="1"/>
        <v>1.2999999999999999E-2</v>
      </c>
      <c r="I30" s="150">
        <f t="shared" si="3"/>
        <v>1.0640000000000001</v>
      </c>
      <c r="J30" s="116">
        <f t="shared" si="4"/>
        <v>-4569.6000000000004</v>
      </c>
      <c r="K30" s="115">
        <f t="shared" si="5"/>
        <v>0.26600000000000001</v>
      </c>
      <c r="L30" s="123">
        <f t="shared" si="9"/>
        <v>729.5</v>
      </c>
      <c r="M30" s="25"/>
    </row>
    <row r="31" spans="1:13" s="21" customFormat="1" ht="67.5">
      <c r="A31" s="16" t="s">
        <v>168</v>
      </c>
      <c r="B31" s="54" t="s">
        <v>169</v>
      </c>
      <c r="C31" s="162">
        <v>0</v>
      </c>
      <c r="D31" s="29">
        <v>0</v>
      </c>
      <c r="E31" s="43">
        <v>0</v>
      </c>
      <c r="F31" s="172">
        <v>90</v>
      </c>
      <c r="G31" s="43">
        <v>0</v>
      </c>
      <c r="H31" s="144">
        <f t="shared" ref="H31" si="21">G31/Всего_доходов_2003</f>
        <v>0</v>
      </c>
      <c r="I31" s="150" t="str">
        <f t="shared" ref="I31" si="22">IF(E31=0,"0,0%",G31/E31)</f>
        <v>0,0%</v>
      </c>
      <c r="J31" s="116">
        <f t="shared" ref="J31" si="23">G31-D31</f>
        <v>0</v>
      </c>
      <c r="K31" s="115">
        <v>0</v>
      </c>
      <c r="L31" s="123">
        <f t="shared" si="9"/>
        <v>-90</v>
      </c>
      <c r="M31" s="25"/>
    </row>
    <row r="32" spans="1:13" s="21" customFormat="1" ht="27">
      <c r="A32" s="56" t="s">
        <v>164</v>
      </c>
      <c r="B32" s="57" t="s">
        <v>165</v>
      </c>
      <c r="C32" s="164">
        <f>SUM(C33:C34)</f>
        <v>20</v>
      </c>
      <c r="D32" s="164">
        <f t="shared" ref="D32:G32" si="24">SUM(D33:D34)</f>
        <v>20</v>
      </c>
      <c r="E32" s="164">
        <f t="shared" si="24"/>
        <v>2</v>
      </c>
      <c r="F32" s="164">
        <f t="shared" si="24"/>
        <v>0</v>
      </c>
      <c r="G32" s="164">
        <f t="shared" si="24"/>
        <v>2</v>
      </c>
      <c r="H32" s="148">
        <f t="shared" si="1"/>
        <v>0</v>
      </c>
      <c r="I32" s="150">
        <f t="shared" si="3"/>
        <v>1</v>
      </c>
      <c r="J32" s="99">
        <f t="shared" ref="J32:J33" si="25">G32-D32</f>
        <v>-18</v>
      </c>
      <c r="K32" s="98">
        <f t="shared" ref="K32:K33" si="26">G32/D32</f>
        <v>0.1</v>
      </c>
      <c r="L32" s="123">
        <f t="shared" si="9"/>
        <v>2</v>
      </c>
      <c r="M32" s="25"/>
    </row>
    <row r="33" spans="1:13" s="21" customFormat="1" ht="54">
      <c r="A33" s="16" t="s">
        <v>166</v>
      </c>
      <c r="B33" s="54" t="s">
        <v>167</v>
      </c>
      <c r="C33" s="162">
        <v>10</v>
      </c>
      <c r="D33" s="29">
        <v>10</v>
      </c>
      <c r="E33" s="43">
        <v>0</v>
      </c>
      <c r="F33" s="172">
        <v>0</v>
      </c>
      <c r="G33" s="43">
        <v>0</v>
      </c>
      <c r="H33" s="144">
        <f t="shared" si="1"/>
        <v>0</v>
      </c>
      <c r="I33" s="150" t="str">
        <f t="shared" si="3"/>
        <v>0,0%</v>
      </c>
      <c r="J33" s="116">
        <f t="shared" si="25"/>
        <v>-10</v>
      </c>
      <c r="K33" s="115">
        <f t="shared" si="26"/>
        <v>0</v>
      </c>
      <c r="L33" s="123">
        <f t="shared" si="9"/>
        <v>0</v>
      </c>
      <c r="M33" s="25"/>
    </row>
    <row r="34" spans="1:13" s="21" customFormat="1" ht="54">
      <c r="A34" s="16" t="s">
        <v>211</v>
      </c>
      <c r="B34" s="54" t="s">
        <v>212</v>
      </c>
      <c r="C34" s="162">
        <v>10</v>
      </c>
      <c r="D34" s="29">
        <v>10</v>
      </c>
      <c r="E34" s="43">
        <v>2</v>
      </c>
      <c r="F34" s="172">
        <v>0</v>
      </c>
      <c r="G34" s="43">
        <v>2</v>
      </c>
      <c r="H34" s="144">
        <f t="shared" ref="H34" si="27">G34/Всего_доходов_2003</f>
        <v>0</v>
      </c>
      <c r="I34" s="150">
        <f t="shared" ref="I34" si="28">IF(E34=0,"0,0%",G34/E34)</f>
        <v>1</v>
      </c>
      <c r="J34" s="116">
        <f t="shared" ref="J34" si="29">G34-D34</f>
        <v>-8</v>
      </c>
      <c r="K34" s="115">
        <f t="shared" ref="K34" si="30">G34/D34</f>
        <v>0.2</v>
      </c>
      <c r="L34" s="123">
        <f t="shared" si="9"/>
        <v>2</v>
      </c>
      <c r="M34" s="25"/>
    </row>
    <row r="35" spans="1:13" s="21" customFormat="1">
      <c r="A35" s="56" t="s">
        <v>3</v>
      </c>
      <c r="B35" s="57" t="s">
        <v>5</v>
      </c>
      <c r="C35" s="164">
        <f>SUM(C36)</f>
        <v>0</v>
      </c>
      <c r="D35" s="70">
        <f>SUM(D36)</f>
        <v>0</v>
      </c>
      <c r="E35" s="70">
        <f>SUM(E36)</f>
        <v>0</v>
      </c>
      <c r="F35" s="171">
        <f>SUM(F36)</f>
        <v>0</v>
      </c>
      <c r="G35" s="70">
        <f>SUM(G36)</f>
        <v>-8.6</v>
      </c>
      <c r="H35" s="152">
        <f t="shared" ref="H35:H36" si="31">G35-E35</f>
        <v>-8.6</v>
      </c>
      <c r="I35" s="150" t="str">
        <f t="shared" si="3"/>
        <v>0,0%</v>
      </c>
      <c r="J35" s="99">
        <f t="shared" si="4"/>
        <v>-8.6</v>
      </c>
      <c r="K35" s="115">
        <v>0</v>
      </c>
      <c r="L35" s="123">
        <f t="shared" si="9"/>
        <v>-8.6</v>
      </c>
      <c r="M35" s="25"/>
    </row>
    <row r="36" spans="1:13" s="21" customFormat="1" ht="27">
      <c r="A36" s="16" t="s">
        <v>213</v>
      </c>
      <c r="B36" s="54" t="s">
        <v>54</v>
      </c>
      <c r="C36" s="162">
        <v>0</v>
      </c>
      <c r="D36" s="29">
        <v>0</v>
      </c>
      <c r="E36" s="43">
        <v>0</v>
      </c>
      <c r="F36" s="172">
        <v>0</v>
      </c>
      <c r="G36" s="43">
        <v>-8.6</v>
      </c>
      <c r="H36" s="151">
        <f t="shared" si="31"/>
        <v>-8.6</v>
      </c>
      <c r="I36" s="150" t="str">
        <f t="shared" si="3"/>
        <v>0,0%</v>
      </c>
      <c r="J36" s="116">
        <f t="shared" si="4"/>
        <v>-8.6</v>
      </c>
      <c r="K36" s="115">
        <v>0</v>
      </c>
      <c r="L36" s="123">
        <f t="shared" si="9"/>
        <v>-8.6</v>
      </c>
      <c r="M36" s="25"/>
    </row>
    <row r="37" spans="1:13" s="21" customFormat="1">
      <c r="A37" s="56" t="s">
        <v>43</v>
      </c>
      <c r="B37" s="61" t="s">
        <v>4</v>
      </c>
      <c r="C37" s="164">
        <f>SUM(C38,C40,C45,C43)</f>
        <v>9027.7000000000007</v>
      </c>
      <c r="D37" s="164">
        <f t="shared" ref="D37:G37" si="32">SUM(D38,D40,D45,D43)</f>
        <v>8944.6</v>
      </c>
      <c r="E37" s="164">
        <f t="shared" si="32"/>
        <v>2173.8000000000002</v>
      </c>
      <c r="F37" s="164">
        <f t="shared" si="32"/>
        <v>1742.7</v>
      </c>
      <c r="G37" s="164">
        <f t="shared" si="32"/>
        <v>2173.8000000000002</v>
      </c>
      <c r="H37" s="148">
        <f t="shared" ref="H37:H46" si="33">G37/Всего_доходов_2003</f>
        <v>1.7999999999999999E-2</v>
      </c>
      <c r="I37" s="150">
        <f t="shared" si="3"/>
        <v>1</v>
      </c>
      <c r="J37" s="99">
        <f t="shared" si="4"/>
        <v>-6770.8</v>
      </c>
      <c r="K37" s="98">
        <f t="shared" si="5"/>
        <v>0.24299999999999999</v>
      </c>
      <c r="L37" s="123">
        <f t="shared" si="9"/>
        <v>431.1</v>
      </c>
      <c r="M37" s="25"/>
    </row>
    <row r="38" spans="1:13" s="21" customFormat="1" ht="27">
      <c r="A38" s="62" t="s">
        <v>44</v>
      </c>
      <c r="B38" s="63" t="s">
        <v>49</v>
      </c>
      <c r="C38" s="164">
        <f>C39</f>
        <v>9027.7000000000007</v>
      </c>
      <c r="D38" s="164">
        <f t="shared" ref="D38:G38" si="34">D39</f>
        <v>9027.7000000000007</v>
      </c>
      <c r="E38" s="164">
        <f t="shared" si="34"/>
        <v>2256.9</v>
      </c>
      <c r="F38" s="164">
        <f t="shared" si="34"/>
        <v>1776.6</v>
      </c>
      <c r="G38" s="164">
        <f t="shared" si="34"/>
        <v>2256.9</v>
      </c>
      <c r="H38" s="148">
        <f t="shared" si="33"/>
        <v>1.7999999999999999E-2</v>
      </c>
      <c r="I38" s="150">
        <f t="shared" si="3"/>
        <v>1</v>
      </c>
      <c r="J38" s="99">
        <f t="shared" si="4"/>
        <v>-6770.8</v>
      </c>
      <c r="K38" s="98">
        <f t="shared" si="5"/>
        <v>0.25</v>
      </c>
      <c r="L38" s="123">
        <f t="shared" si="9"/>
        <v>480.3</v>
      </c>
      <c r="M38" s="25"/>
    </row>
    <row r="39" spans="1:13" s="21" customFormat="1" ht="67.5">
      <c r="A39" s="64" t="s">
        <v>74</v>
      </c>
      <c r="B39" s="65" t="s">
        <v>55</v>
      </c>
      <c r="C39" s="162">
        <v>9027.7000000000007</v>
      </c>
      <c r="D39" s="43">
        <v>9027.7000000000007</v>
      </c>
      <c r="E39" s="43">
        <v>2256.9</v>
      </c>
      <c r="F39" s="172">
        <v>1776.6</v>
      </c>
      <c r="G39" s="43">
        <v>2256.9</v>
      </c>
      <c r="H39" s="144">
        <f t="shared" si="33"/>
        <v>1.7999999999999999E-2</v>
      </c>
      <c r="I39" s="150">
        <f t="shared" si="3"/>
        <v>1</v>
      </c>
      <c r="J39" s="116">
        <f t="shared" si="4"/>
        <v>-6770.8</v>
      </c>
      <c r="K39" s="115">
        <f t="shared" si="5"/>
        <v>0.25</v>
      </c>
      <c r="L39" s="123">
        <f t="shared" si="9"/>
        <v>480.3</v>
      </c>
      <c r="M39" s="25"/>
    </row>
    <row r="40" spans="1:13" s="21" customFormat="1" ht="40.5">
      <c r="A40" s="66" t="s">
        <v>131</v>
      </c>
      <c r="B40" s="61" t="s">
        <v>132</v>
      </c>
      <c r="C40" s="164">
        <f>C41+C42</f>
        <v>0</v>
      </c>
      <c r="D40" s="70">
        <f>D41+D42</f>
        <v>0</v>
      </c>
      <c r="E40" s="70">
        <f>E41+E42</f>
        <v>0</v>
      </c>
      <c r="F40" s="171">
        <f>F41+F42</f>
        <v>0</v>
      </c>
      <c r="G40" s="70">
        <f>G41+G42</f>
        <v>0</v>
      </c>
      <c r="H40" s="148">
        <f t="shared" si="33"/>
        <v>0</v>
      </c>
      <c r="I40" s="150" t="str">
        <f t="shared" si="3"/>
        <v>0,0%</v>
      </c>
      <c r="J40" s="98">
        <f t="shared" ref="J40:J46" si="35">G40/Всего_доходов_2003</f>
        <v>0</v>
      </c>
      <c r="K40" s="99">
        <f>G40-D40</f>
        <v>0</v>
      </c>
      <c r="L40" s="123">
        <f t="shared" si="9"/>
        <v>0</v>
      </c>
      <c r="M40" s="25"/>
    </row>
    <row r="41" spans="1:13" s="27" customFormat="1" ht="81">
      <c r="A41" s="138" t="s">
        <v>151</v>
      </c>
      <c r="B41" s="137" t="s">
        <v>149</v>
      </c>
      <c r="C41" s="162">
        <v>0</v>
      </c>
      <c r="D41" s="43">
        <v>0</v>
      </c>
      <c r="E41" s="43">
        <v>0</v>
      </c>
      <c r="F41" s="172">
        <v>0</v>
      </c>
      <c r="G41" s="43">
        <v>0</v>
      </c>
      <c r="H41" s="144">
        <f t="shared" si="33"/>
        <v>0</v>
      </c>
      <c r="I41" s="150" t="str">
        <f t="shared" si="3"/>
        <v>0,0%</v>
      </c>
      <c r="J41" s="116">
        <f>G41-D41</f>
        <v>0</v>
      </c>
      <c r="K41" s="115">
        <v>0</v>
      </c>
      <c r="L41" s="123">
        <f t="shared" si="9"/>
        <v>0</v>
      </c>
    </row>
    <row r="42" spans="1:13" s="27" customFormat="1" ht="54">
      <c r="A42" s="138" t="s">
        <v>152</v>
      </c>
      <c r="B42" s="137" t="s">
        <v>150</v>
      </c>
      <c r="C42" s="162">
        <v>0</v>
      </c>
      <c r="D42" s="43">
        <v>0</v>
      </c>
      <c r="E42" s="43">
        <v>0</v>
      </c>
      <c r="F42" s="172">
        <v>0</v>
      </c>
      <c r="G42" s="43">
        <v>0</v>
      </c>
      <c r="H42" s="144">
        <f t="shared" si="33"/>
        <v>0</v>
      </c>
      <c r="I42" s="150" t="str">
        <f t="shared" si="3"/>
        <v>0,0%</v>
      </c>
      <c r="J42" s="116">
        <f>G42-D42</f>
        <v>0</v>
      </c>
      <c r="K42" s="115">
        <v>0</v>
      </c>
      <c r="L42" s="123">
        <f t="shared" si="9"/>
        <v>0</v>
      </c>
    </row>
    <row r="43" spans="1:13" s="27" customFormat="1">
      <c r="A43" s="198" t="s">
        <v>180</v>
      </c>
      <c r="B43" s="199" t="s">
        <v>179</v>
      </c>
      <c r="C43" s="165">
        <f>C44</f>
        <v>0</v>
      </c>
      <c r="D43" s="81">
        <f>D44</f>
        <v>0</v>
      </c>
      <c r="E43" s="81">
        <f>E44</f>
        <v>0</v>
      </c>
      <c r="F43" s="173">
        <f>F44</f>
        <v>0</v>
      </c>
      <c r="G43" s="81">
        <f>G44</f>
        <v>0</v>
      </c>
      <c r="H43" s="148">
        <f t="shared" ref="H43:H44" si="36">G43/Всего_доходов_2003</f>
        <v>0</v>
      </c>
      <c r="I43" s="150" t="str">
        <f t="shared" ref="I43:I44" si="37">IF(E43=0,"0,0%",G43/E43)</f>
        <v>0,0%</v>
      </c>
      <c r="J43" s="98">
        <f t="shared" ref="J43:J44" si="38">G43/Всего_доходов_2003</f>
        <v>0</v>
      </c>
      <c r="K43" s="99">
        <f>G43-D43</f>
        <v>0</v>
      </c>
      <c r="L43" s="123">
        <f t="shared" si="9"/>
        <v>0</v>
      </c>
    </row>
    <row r="44" spans="1:13" s="27" customFormat="1" ht="40.5">
      <c r="A44" s="138" t="s">
        <v>177</v>
      </c>
      <c r="B44" s="137" t="s">
        <v>178</v>
      </c>
      <c r="C44" s="162">
        <v>0</v>
      </c>
      <c r="D44" s="43">
        <v>0</v>
      </c>
      <c r="E44" s="43">
        <v>0</v>
      </c>
      <c r="F44" s="172">
        <v>0</v>
      </c>
      <c r="G44" s="43">
        <v>0</v>
      </c>
      <c r="H44" s="144">
        <f t="shared" si="36"/>
        <v>0</v>
      </c>
      <c r="I44" s="150" t="str">
        <f t="shared" si="37"/>
        <v>0,0%</v>
      </c>
      <c r="J44" s="115">
        <f t="shared" si="38"/>
        <v>0</v>
      </c>
      <c r="K44" s="116">
        <f>G44-D44</f>
        <v>0</v>
      </c>
      <c r="L44" s="123">
        <f t="shared" si="9"/>
        <v>0</v>
      </c>
    </row>
    <row r="45" spans="1:13" s="21" customFormat="1" ht="40.5">
      <c r="A45" s="66" t="s">
        <v>133</v>
      </c>
      <c r="B45" s="61" t="s">
        <v>134</v>
      </c>
      <c r="C45" s="165">
        <f>C46</f>
        <v>0</v>
      </c>
      <c r="D45" s="81">
        <f>D46</f>
        <v>-83.1</v>
      </c>
      <c r="E45" s="81">
        <f>E46</f>
        <v>-83.1</v>
      </c>
      <c r="F45" s="173">
        <f>F46</f>
        <v>-33.9</v>
      </c>
      <c r="G45" s="81">
        <f>G46</f>
        <v>-83.1</v>
      </c>
      <c r="H45" s="148">
        <f t="shared" si="33"/>
        <v>-1E-3</v>
      </c>
      <c r="I45" s="150">
        <f t="shared" si="3"/>
        <v>1</v>
      </c>
      <c r="J45" s="98">
        <f t="shared" si="35"/>
        <v>-1E-3</v>
      </c>
      <c r="K45" s="99">
        <f>G45-D45</f>
        <v>0</v>
      </c>
      <c r="L45" s="123">
        <f t="shared" si="9"/>
        <v>-49.2</v>
      </c>
      <c r="M45" s="25"/>
    </row>
    <row r="46" spans="1:13" s="21" customFormat="1" ht="54">
      <c r="A46" s="64" t="s">
        <v>135</v>
      </c>
      <c r="B46" s="65" t="s">
        <v>73</v>
      </c>
      <c r="C46" s="162">
        <v>0</v>
      </c>
      <c r="D46" s="43">
        <v>-83.1</v>
      </c>
      <c r="E46" s="43">
        <v>-83.1</v>
      </c>
      <c r="F46" s="172">
        <v>-33.9</v>
      </c>
      <c r="G46" s="43">
        <v>-83.1</v>
      </c>
      <c r="H46" s="144">
        <f t="shared" si="33"/>
        <v>-1E-3</v>
      </c>
      <c r="I46" s="150">
        <f t="shared" si="3"/>
        <v>1</v>
      </c>
      <c r="J46" s="115">
        <f t="shared" si="35"/>
        <v>-1E-3</v>
      </c>
      <c r="K46" s="116">
        <f>G46-D46</f>
        <v>0</v>
      </c>
      <c r="L46" s="123">
        <f t="shared" si="9"/>
        <v>-49.2</v>
      </c>
      <c r="M46" s="25"/>
    </row>
    <row r="47" spans="1:13" s="28" customFormat="1">
      <c r="A47" s="145"/>
      <c r="B47" s="146" t="s">
        <v>6</v>
      </c>
      <c r="C47" s="147">
        <f>C6+C37</f>
        <v>599541.4</v>
      </c>
      <c r="D47" s="147">
        <f>D6+D37</f>
        <v>616699</v>
      </c>
      <c r="E47" s="147">
        <f>E6+E37</f>
        <v>124913.2</v>
      </c>
      <c r="F47" s="147">
        <f>F6+F37</f>
        <v>109680.6</v>
      </c>
      <c r="G47" s="147">
        <f>G6+G37</f>
        <v>122656.8</v>
      </c>
      <c r="H47" s="98">
        <f t="shared" ref="H47" si="39">G47/Всего_доходов_2003</f>
        <v>1</v>
      </c>
      <c r="I47" s="150">
        <f t="shared" si="3"/>
        <v>0.98199999999999998</v>
      </c>
      <c r="J47" s="99">
        <f t="shared" ref="J47" si="40">G47-D47</f>
        <v>-494042.2</v>
      </c>
      <c r="K47" s="98">
        <f>G47/D47</f>
        <v>0.19900000000000001</v>
      </c>
      <c r="L47" s="123">
        <f t="shared" si="9"/>
        <v>12976.2</v>
      </c>
    </row>
    <row r="48" spans="1:13" s="13" customFormat="1">
      <c r="A48" s="50"/>
      <c r="B48" s="5"/>
      <c r="C48" s="5"/>
      <c r="D48" s="31"/>
      <c r="E48" s="6"/>
      <c r="F48" s="6"/>
      <c r="G48" s="6"/>
      <c r="H48" s="67"/>
      <c r="I48" s="67"/>
      <c r="J48" s="68"/>
      <c r="K48" s="69"/>
      <c r="L48" s="6"/>
    </row>
    <row r="49" spans="1:12" ht="16.5">
      <c r="A49" s="18" t="s">
        <v>9</v>
      </c>
      <c r="B49" s="174" t="s">
        <v>7</v>
      </c>
      <c r="C49" s="5"/>
      <c r="D49" s="31"/>
      <c r="E49" s="8"/>
      <c r="F49" s="8"/>
      <c r="G49" s="8"/>
      <c r="H49" s="82"/>
      <c r="I49" s="82"/>
      <c r="J49" s="83"/>
      <c r="K49" s="82"/>
      <c r="L49" s="8"/>
    </row>
    <row r="50" spans="1:12" s="28" customFormat="1">
      <c r="A50" s="95" t="s">
        <v>20</v>
      </c>
      <c r="B50" s="96" t="s">
        <v>24</v>
      </c>
      <c r="C50" s="97">
        <f>C51+C52+C53+C56+C59+C60+C61</f>
        <v>29585.5</v>
      </c>
      <c r="D50" s="97">
        <f>D51+D52+D53+D56+D59+D60+D61</f>
        <v>29427.1</v>
      </c>
      <c r="E50" s="97">
        <f>E51+E52+E53+E56+E59+E60+E61</f>
        <v>6040.8</v>
      </c>
      <c r="F50" s="97">
        <f>F51+F52+F53+F56+F59+F60+F61</f>
        <v>19085.5</v>
      </c>
      <c r="G50" s="97">
        <f>G51+G52+G53+G56+G59+G60+G61</f>
        <v>6015.4</v>
      </c>
      <c r="H50" s="98">
        <f>G50/G151</f>
        <v>4.7E-2</v>
      </c>
      <c r="I50" s="150">
        <f>IF(E50=0,"0,0%",G50/E50)</f>
        <v>0.996</v>
      </c>
      <c r="J50" s="99">
        <f>G50-D50</f>
        <v>-23411.7</v>
      </c>
      <c r="K50" s="98">
        <f>G50/D50</f>
        <v>0.20399999999999999</v>
      </c>
      <c r="L50" s="100">
        <f>G50-F50</f>
        <v>-13070.1</v>
      </c>
    </row>
    <row r="51" spans="1:12" ht="40.5">
      <c r="A51" s="17" t="s">
        <v>51</v>
      </c>
      <c r="B51" s="11" t="s">
        <v>60</v>
      </c>
      <c r="C51" s="127">
        <v>1683.9</v>
      </c>
      <c r="D51" s="32">
        <v>1683.9</v>
      </c>
      <c r="E51" s="8">
        <v>309.89999999999998</v>
      </c>
      <c r="F51" s="182">
        <v>504.8</v>
      </c>
      <c r="G51" s="8">
        <v>309.8</v>
      </c>
      <c r="H51" s="107">
        <f>G51/$G$151</f>
        <v>2E-3</v>
      </c>
      <c r="I51" s="150">
        <f>IF(E51=0,"0,0%",G51/E51)</f>
        <v>1</v>
      </c>
      <c r="J51" s="108">
        <f t="shared" ref="J51:J125" si="41">G51-D51</f>
        <v>-1374.1</v>
      </c>
      <c r="K51" s="107">
        <f t="shared" ref="K51:K125" si="42">G51/D51</f>
        <v>0.184</v>
      </c>
      <c r="L51" s="136">
        <f>G51-F51</f>
        <v>-195</v>
      </c>
    </row>
    <row r="52" spans="1:12" ht="54">
      <c r="A52" s="17" t="s">
        <v>52</v>
      </c>
      <c r="B52" s="11" t="s">
        <v>136</v>
      </c>
      <c r="C52" s="127">
        <v>14684.2</v>
      </c>
      <c r="D52" s="32">
        <v>14684.2</v>
      </c>
      <c r="E52" s="8">
        <v>2720.9</v>
      </c>
      <c r="F52" s="182">
        <v>1480.7</v>
      </c>
      <c r="G52" s="8">
        <v>2720.8</v>
      </c>
      <c r="H52" s="107">
        <f>G52/$G$151</f>
        <v>2.1000000000000001E-2</v>
      </c>
      <c r="I52" s="150">
        <f>IF(E52=0,"0,0%",G52/E52)</f>
        <v>1</v>
      </c>
      <c r="J52" s="108">
        <f t="shared" si="41"/>
        <v>-11963.4</v>
      </c>
      <c r="K52" s="107">
        <f t="shared" si="42"/>
        <v>0.185</v>
      </c>
      <c r="L52" s="136">
        <f>G52-F52</f>
        <v>1240.0999999999999</v>
      </c>
    </row>
    <row r="53" spans="1:12" ht="54">
      <c r="A53" s="17" t="s">
        <v>187</v>
      </c>
      <c r="B53" s="11" t="s">
        <v>137</v>
      </c>
      <c r="C53" s="127">
        <v>4986.2</v>
      </c>
      <c r="D53" s="32">
        <v>5221.8</v>
      </c>
      <c r="E53" s="8">
        <v>2757.8</v>
      </c>
      <c r="F53" s="182">
        <v>9144.4</v>
      </c>
      <c r="G53" s="8">
        <v>2732.7</v>
      </c>
      <c r="H53" s="107">
        <f>G53/$G$151</f>
        <v>2.1000000000000001E-2</v>
      </c>
      <c r="I53" s="150">
        <f>IF(E53=0,"0,0%",G53/E53)</f>
        <v>0.99099999999999999</v>
      </c>
      <c r="J53" s="108">
        <f t="shared" si="41"/>
        <v>-2489.1</v>
      </c>
      <c r="K53" s="107">
        <f t="shared" si="42"/>
        <v>0.52300000000000002</v>
      </c>
      <c r="L53" s="136">
        <f>G53-F53</f>
        <v>-6411.7</v>
      </c>
    </row>
    <row r="54" spans="1:12">
      <c r="A54" s="17"/>
      <c r="B54" s="11" t="s">
        <v>26</v>
      </c>
      <c r="C54" s="127"/>
      <c r="D54" s="32"/>
      <c r="E54" s="8"/>
      <c r="F54" s="182"/>
      <c r="G54" s="8"/>
      <c r="H54" s="107"/>
      <c r="I54" s="107"/>
      <c r="J54" s="108"/>
      <c r="K54" s="107"/>
      <c r="L54" s="106"/>
    </row>
    <row r="55" spans="1:12" s="49" customFormat="1" ht="40.5">
      <c r="A55" s="17"/>
      <c r="B55" s="40" t="s">
        <v>188</v>
      </c>
      <c r="C55" s="176">
        <v>2735</v>
      </c>
      <c r="D55" s="41">
        <v>2735</v>
      </c>
      <c r="E55" s="41">
        <v>553.9</v>
      </c>
      <c r="F55" s="183">
        <v>398.3</v>
      </c>
      <c r="G55" s="41">
        <v>528.70000000000005</v>
      </c>
      <c r="H55" s="115">
        <f>G55/$G$151</f>
        <v>4.0000000000000001E-3</v>
      </c>
      <c r="I55" s="150">
        <f>IF(E55=0,"0,0%",G55/E55)</f>
        <v>0.95499999999999996</v>
      </c>
      <c r="J55" s="116">
        <f>G55-D55</f>
        <v>-2206.3000000000002</v>
      </c>
      <c r="K55" s="115">
        <f>G55/D55</f>
        <v>0.193</v>
      </c>
      <c r="L55" s="121">
        <f>G55-F55</f>
        <v>130.4</v>
      </c>
    </row>
    <row r="56" spans="1:12" ht="40.5">
      <c r="A56" s="17" t="s">
        <v>62</v>
      </c>
      <c r="B56" s="11" t="s">
        <v>138</v>
      </c>
      <c r="C56" s="127">
        <v>184.2</v>
      </c>
      <c r="D56" s="32">
        <v>184.2</v>
      </c>
      <c r="E56" s="8">
        <v>131.30000000000001</v>
      </c>
      <c r="F56" s="182">
        <v>1326.9</v>
      </c>
      <c r="G56" s="8">
        <v>131.30000000000001</v>
      </c>
      <c r="H56" s="107">
        <f>G56/$G$151</f>
        <v>1E-3</v>
      </c>
      <c r="I56" s="150">
        <f>IF(E56=0,"0,0%",G56/E56)</f>
        <v>1</v>
      </c>
      <c r="J56" s="108">
        <f t="shared" si="41"/>
        <v>-52.9</v>
      </c>
      <c r="K56" s="107">
        <f t="shared" si="42"/>
        <v>0.71299999999999997</v>
      </c>
      <c r="L56" s="106">
        <f t="shared" ref="L56:L125" si="43">G56-F56</f>
        <v>-1195.5999999999999</v>
      </c>
    </row>
    <row r="57" spans="1:12">
      <c r="A57" s="17"/>
      <c r="B57" s="11" t="s">
        <v>26</v>
      </c>
      <c r="C57" s="127"/>
      <c r="D57" s="32"/>
      <c r="E57" s="8"/>
      <c r="F57" s="182"/>
      <c r="G57" s="8"/>
      <c r="H57" s="107"/>
      <c r="I57" s="107"/>
      <c r="J57" s="108"/>
      <c r="K57" s="107"/>
      <c r="L57" s="106"/>
    </row>
    <row r="58" spans="1:12" s="49" customFormat="1" ht="54">
      <c r="A58" s="17"/>
      <c r="B58" s="40" t="s">
        <v>171</v>
      </c>
      <c r="C58" s="176">
        <v>0</v>
      </c>
      <c r="D58" s="41">
        <v>0</v>
      </c>
      <c r="E58" s="41">
        <v>0</v>
      </c>
      <c r="F58" s="183">
        <v>71.8</v>
      </c>
      <c r="G58" s="41">
        <v>0</v>
      </c>
      <c r="H58" s="115">
        <f>G58/$G$151</f>
        <v>0</v>
      </c>
      <c r="I58" s="150" t="str">
        <f>IF(E58=0,"0,0%",G58/E58)</f>
        <v>0,0%</v>
      </c>
      <c r="J58" s="116">
        <f>G58-D58</f>
        <v>0</v>
      </c>
      <c r="K58" s="115">
        <v>0</v>
      </c>
      <c r="L58" s="121">
        <f>G58-F58</f>
        <v>-71.8</v>
      </c>
    </row>
    <row r="59" spans="1:12" ht="27" hidden="1">
      <c r="A59" s="17" t="s">
        <v>145</v>
      </c>
      <c r="B59" s="11" t="s">
        <v>146</v>
      </c>
      <c r="C59" s="127">
        <v>0</v>
      </c>
      <c r="D59" s="32">
        <v>0</v>
      </c>
      <c r="E59" s="8">
        <v>0</v>
      </c>
      <c r="F59" s="182">
        <v>0</v>
      </c>
      <c r="G59" s="8">
        <v>0</v>
      </c>
      <c r="H59" s="107">
        <f>G59/$G$151</f>
        <v>0</v>
      </c>
      <c r="I59" s="150" t="str">
        <f>IF(E59=0,"0,0%",G59/E59)</f>
        <v>0,0%</v>
      </c>
      <c r="J59" s="108">
        <f t="shared" si="41"/>
        <v>0</v>
      </c>
      <c r="K59" s="107">
        <v>0</v>
      </c>
      <c r="L59" s="106">
        <f t="shared" si="43"/>
        <v>0</v>
      </c>
    </row>
    <row r="60" spans="1:12">
      <c r="A60" s="17" t="s">
        <v>81</v>
      </c>
      <c r="B60" s="11" t="s">
        <v>22</v>
      </c>
      <c r="C60" s="127">
        <v>5000</v>
      </c>
      <c r="D60" s="32">
        <v>5000</v>
      </c>
      <c r="E60" s="8">
        <v>0</v>
      </c>
      <c r="F60" s="182">
        <v>0</v>
      </c>
      <c r="G60" s="8">
        <v>0</v>
      </c>
      <c r="H60" s="107">
        <f>G60/$G$151</f>
        <v>0</v>
      </c>
      <c r="I60" s="150" t="str">
        <f>IF(E60=0,"0,0%",G60/E60)</f>
        <v>0,0%</v>
      </c>
      <c r="J60" s="108">
        <f t="shared" si="41"/>
        <v>-5000</v>
      </c>
      <c r="K60" s="107">
        <f t="shared" si="42"/>
        <v>0</v>
      </c>
      <c r="L60" s="106">
        <f t="shared" si="43"/>
        <v>0</v>
      </c>
    </row>
    <row r="61" spans="1:12" s="1" customFormat="1">
      <c r="A61" s="17" t="s">
        <v>84</v>
      </c>
      <c r="B61" s="11" t="s">
        <v>139</v>
      </c>
      <c r="C61" s="127">
        <v>3047</v>
      </c>
      <c r="D61" s="32">
        <v>2653</v>
      </c>
      <c r="E61" s="8">
        <v>120.9</v>
      </c>
      <c r="F61" s="182">
        <v>6628.7</v>
      </c>
      <c r="G61" s="8">
        <v>120.8</v>
      </c>
      <c r="H61" s="107">
        <f>G61/$G$151</f>
        <v>1E-3</v>
      </c>
      <c r="I61" s="150">
        <f>IF(E61=0,"0,0%",G61/E61)</f>
        <v>0.999</v>
      </c>
      <c r="J61" s="108">
        <f t="shared" si="41"/>
        <v>-2532.1999999999998</v>
      </c>
      <c r="K61" s="107">
        <f t="shared" si="42"/>
        <v>4.5999999999999999E-2</v>
      </c>
      <c r="L61" s="106">
        <f t="shared" si="43"/>
        <v>-6507.9</v>
      </c>
    </row>
    <row r="62" spans="1:12" s="1" customFormat="1" hidden="1">
      <c r="A62" s="17"/>
      <c r="B62" s="9" t="s">
        <v>26</v>
      </c>
      <c r="C62" s="127"/>
      <c r="D62" s="32"/>
      <c r="E62" s="8"/>
      <c r="F62" s="182"/>
      <c r="G62" s="8"/>
      <c r="H62" s="107"/>
      <c r="I62" s="107"/>
      <c r="J62" s="108"/>
      <c r="K62" s="107"/>
      <c r="L62" s="106"/>
    </row>
    <row r="63" spans="1:12" s="1" customFormat="1" ht="54" hidden="1">
      <c r="A63" s="17"/>
      <c r="B63" s="10" t="s">
        <v>113</v>
      </c>
      <c r="C63" s="127"/>
      <c r="D63" s="32"/>
      <c r="E63" s="8"/>
      <c r="F63" s="182">
        <v>3021.7</v>
      </c>
      <c r="G63" s="8"/>
      <c r="H63" s="107">
        <f>G63/$G$151</f>
        <v>0</v>
      </c>
      <c r="I63" s="150" t="str">
        <f>IF(E63=0,"0,0%",G63/E63)</f>
        <v>0,0%</v>
      </c>
      <c r="J63" s="108">
        <f t="shared" si="41"/>
        <v>0</v>
      </c>
      <c r="K63" s="107" t="e">
        <f t="shared" si="42"/>
        <v>#DIV/0!</v>
      </c>
      <c r="L63" s="106">
        <f t="shared" si="43"/>
        <v>-3021.7</v>
      </c>
    </row>
    <row r="64" spans="1:12" s="1" customFormat="1" ht="27" hidden="1">
      <c r="A64" s="17"/>
      <c r="B64" s="10" t="s">
        <v>114</v>
      </c>
      <c r="C64" s="127"/>
      <c r="D64" s="32"/>
      <c r="E64" s="8"/>
      <c r="F64" s="182">
        <v>3058.2</v>
      </c>
      <c r="G64" s="8"/>
      <c r="H64" s="107">
        <f>G64/$G$151</f>
        <v>0</v>
      </c>
      <c r="I64" s="150" t="str">
        <f>IF(E64=0,"0,0%",G64/E64)</f>
        <v>0,0%</v>
      </c>
      <c r="J64" s="108">
        <f t="shared" si="41"/>
        <v>0</v>
      </c>
      <c r="K64" s="107" t="e">
        <f t="shared" si="42"/>
        <v>#DIV/0!</v>
      </c>
      <c r="L64" s="106">
        <f t="shared" si="43"/>
        <v>-3058.2</v>
      </c>
    </row>
    <row r="65" spans="1:12" s="1" customFormat="1">
      <c r="A65" s="132"/>
      <c r="B65" s="188" t="s">
        <v>153</v>
      </c>
      <c r="C65" s="139"/>
      <c r="D65" s="139"/>
      <c r="E65" s="134"/>
      <c r="F65" s="134"/>
      <c r="G65" s="134"/>
      <c r="H65" s="107"/>
      <c r="I65" s="107"/>
      <c r="J65" s="108"/>
      <c r="K65" s="107"/>
      <c r="L65" s="106"/>
    </row>
    <row r="66" spans="1:12" ht="27">
      <c r="A66" s="124"/>
      <c r="B66" s="125" t="s">
        <v>115</v>
      </c>
      <c r="C66" s="134">
        <v>13738.1</v>
      </c>
      <c r="D66" s="134">
        <v>15370.9</v>
      </c>
      <c r="E66" s="134">
        <v>4216.6000000000004</v>
      </c>
      <c r="F66" s="134">
        <v>10802.8</v>
      </c>
      <c r="G66" s="134">
        <v>4216.5</v>
      </c>
      <c r="H66" s="107">
        <f>G66/$G$151</f>
        <v>3.3000000000000002E-2</v>
      </c>
      <c r="I66" s="150">
        <f>IF(E66=0,"0,0%",G66/E66)</f>
        <v>1</v>
      </c>
      <c r="J66" s="108">
        <f t="shared" ref="J66:J68" si="44">G66-D66</f>
        <v>-11154.4</v>
      </c>
      <c r="K66" s="107">
        <f t="shared" ref="K66:K68" si="45">G66/D66</f>
        <v>0.27400000000000002</v>
      </c>
      <c r="L66" s="106">
        <f t="shared" ref="L66:L68" si="46">G66-F66</f>
        <v>-6586.3</v>
      </c>
    </row>
    <row r="67" spans="1:12">
      <c r="A67" s="132"/>
      <c r="B67" s="125" t="s">
        <v>119</v>
      </c>
      <c r="C67" s="134">
        <v>0</v>
      </c>
      <c r="D67" s="134">
        <v>255.2</v>
      </c>
      <c r="E67" s="134">
        <v>237.6</v>
      </c>
      <c r="F67" s="134">
        <v>698.1</v>
      </c>
      <c r="G67" s="134">
        <v>237.6</v>
      </c>
      <c r="H67" s="107">
        <f>G67/$G$151</f>
        <v>2E-3</v>
      </c>
      <c r="I67" s="150">
        <f>IF(E67=0,"0,0%",G67/E67)</f>
        <v>1</v>
      </c>
      <c r="J67" s="108">
        <f t="shared" ref="J67" si="47">G67-D67</f>
        <v>-17.600000000000001</v>
      </c>
      <c r="K67" s="107">
        <f t="shared" ref="K67" si="48">G67/D67</f>
        <v>0.93100000000000005</v>
      </c>
      <c r="L67" s="106">
        <f t="shared" ref="L67" si="49">G67-F67</f>
        <v>-460.5</v>
      </c>
    </row>
    <row r="68" spans="1:12">
      <c r="A68" s="124"/>
      <c r="B68" s="142" t="s">
        <v>196</v>
      </c>
      <c r="C68" s="139">
        <v>320</v>
      </c>
      <c r="D68" s="139">
        <v>320</v>
      </c>
      <c r="E68" s="139">
        <v>0</v>
      </c>
      <c r="F68" s="139">
        <v>0</v>
      </c>
      <c r="G68" s="139">
        <v>0</v>
      </c>
      <c r="H68" s="107">
        <f>G68/$G$151</f>
        <v>0</v>
      </c>
      <c r="I68" s="150" t="str">
        <f>IF(E68=0,"0,0%",G68/E68)</f>
        <v>0,0%</v>
      </c>
      <c r="J68" s="108">
        <f t="shared" si="44"/>
        <v>-320</v>
      </c>
      <c r="K68" s="107">
        <f t="shared" si="45"/>
        <v>0</v>
      </c>
      <c r="L68" s="106">
        <f t="shared" si="46"/>
        <v>0</v>
      </c>
    </row>
    <row r="69" spans="1:12" s="28" customFormat="1" ht="27">
      <c r="A69" s="95" t="s">
        <v>101</v>
      </c>
      <c r="B69" s="101" t="s">
        <v>102</v>
      </c>
      <c r="C69" s="97">
        <f>C71+C73</f>
        <v>7785.7</v>
      </c>
      <c r="D69" s="97">
        <f t="shared" ref="D69:G69" si="50">D71+D73</f>
        <v>7785.7</v>
      </c>
      <c r="E69" s="97">
        <f t="shared" si="50"/>
        <v>2084.1999999999998</v>
      </c>
      <c r="F69" s="97">
        <f>F71+F73</f>
        <v>1797</v>
      </c>
      <c r="G69" s="97">
        <f t="shared" si="50"/>
        <v>2084.1999999999998</v>
      </c>
      <c r="H69" s="98">
        <f>G69/$G$151</f>
        <v>1.6E-2</v>
      </c>
      <c r="I69" s="150">
        <f>IF(E69=0,"0,0%",G69/E69)</f>
        <v>1</v>
      </c>
      <c r="J69" s="99">
        <f t="shared" si="41"/>
        <v>-5701.5</v>
      </c>
      <c r="K69" s="98">
        <f t="shared" si="42"/>
        <v>0.26800000000000002</v>
      </c>
      <c r="L69" s="100">
        <f t="shared" si="43"/>
        <v>287.2</v>
      </c>
    </row>
    <row r="70" spans="1:12" s="28" customFormat="1">
      <c r="A70" s="19"/>
      <c r="B70" s="202" t="s">
        <v>190</v>
      </c>
      <c r="C70" s="203"/>
      <c r="D70" s="203"/>
      <c r="E70" s="203"/>
      <c r="F70" s="203"/>
      <c r="G70" s="203"/>
      <c r="H70" s="204"/>
      <c r="I70" s="205"/>
      <c r="J70" s="206"/>
      <c r="K70" s="204"/>
      <c r="L70" s="42"/>
    </row>
    <row r="71" spans="1:12" s="49" customFormat="1" ht="40.5">
      <c r="A71" s="17" t="s">
        <v>189</v>
      </c>
      <c r="B71" s="20" t="s">
        <v>126</v>
      </c>
      <c r="C71" s="177">
        <v>176</v>
      </c>
      <c r="D71" s="23">
        <v>176</v>
      </c>
      <c r="E71" s="23">
        <v>0</v>
      </c>
      <c r="F71" s="184">
        <v>0</v>
      </c>
      <c r="G71" s="23">
        <v>0</v>
      </c>
      <c r="H71" s="107">
        <f>G71/$G$151</f>
        <v>0</v>
      </c>
      <c r="I71" s="150" t="str">
        <f>IF(E71=0,"0,0%",G71/E71)</f>
        <v>0,0%</v>
      </c>
      <c r="J71" s="108">
        <f t="shared" si="41"/>
        <v>-176</v>
      </c>
      <c r="K71" s="107">
        <f t="shared" si="42"/>
        <v>0</v>
      </c>
      <c r="L71" s="106">
        <f t="shared" si="43"/>
        <v>0</v>
      </c>
    </row>
    <row r="72" spans="1:12" s="49" customFormat="1" hidden="1">
      <c r="A72" s="17"/>
      <c r="B72" s="9" t="s">
        <v>26</v>
      </c>
      <c r="C72" s="177"/>
      <c r="D72" s="23"/>
      <c r="E72" s="41"/>
      <c r="F72" s="183"/>
      <c r="G72" s="41"/>
      <c r="H72" s="107"/>
      <c r="I72" s="107"/>
      <c r="J72" s="108"/>
      <c r="K72" s="107"/>
      <c r="L72" s="106"/>
    </row>
    <row r="73" spans="1:12" s="49" customFormat="1" ht="54">
      <c r="A73" s="17" t="s">
        <v>189</v>
      </c>
      <c r="B73" s="40" t="s">
        <v>191</v>
      </c>
      <c r="C73" s="176">
        <v>7609.7</v>
      </c>
      <c r="D73" s="41">
        <v>7609.7</v>
      </c>
      <c r="E73" s="41">
        <v>2084.1999999999998</v>
      </c>
      <c r="F73" s="183">
        <v>1797</v>
      </c>
      <c r="G73" s="41">
        <v>2084.1999999999998</v>
      </c>
      <c r="H73" s="115">
        <f>G73/$G$151</f>
        <v>1.6E-2</v>
      </c>
      <c r="I73" s="150">
        <f>IF(E73=0,"0,0%",G73/E73)</f>
        <v>1</v>
      </c>
      <c r="J73" s="116">
        <f>G73-D73</f>
        <v>-5525.5</v>
      </c>
      <c r="K73" s="115">
        <f>G73/D73</f>
        <v>0.27400000000000002</v>
      </c>
      <c r="L73" s="121">
        <f>G73-F73</f>
        <v>287.2</v>
      </c>
    </row>
    <row r="74" spans="1:12" s="49" customFormat="1" hidden="1">
      <c r="A74" s="132"/>
      <c r="B74" s="188" t="s">
        <v>154</v>
      </c>
      <c r="C74" s="140"/>
      <c r="D74" s="140"/>
      <c r="E74" s="141"/>
      <c r="F74" s="141"/>
      <c r="G74" s="141"/>
      <c r="H74" s="107"/>
      <c r="I74" s="107"/>
      <c r="J74" s="108"/>
      <c r="K74" s="107"/>
      <c r="L74" s="106"/>
    </row>
    <row r="75" spans="1:12" s="49" customFormat="1" hidden="1">
      <c r="A75" s="132"/>
      <c r="B75" s="142" t="s">
        <v>125</v>
      </c>
      <c r="C75" s="140"/>
      <c r="D75" s="140"/>
      <c r="E75" s="141"/>
      <c r="F75" s="141">
        <v>0</v>
      </c>
      <c r="G75" s="141">
        <v>0</v>
      </c>
      <c r="H75" s="107">
        <f>G75/$G$151</f>
        <v>0</v>
      </c>
      <c r="I75" s="150" t="str">
        <f>IF(E75=0,"0,0%",G75/E75)</f>
        <v>0,0%</v>
      </c>
      <c r="J75" s="108">
        <f>G75-D75</f>
        <v>0</v>
      </c>
      <c r="K75" s="107" t="e">
        <f>G75/D75</f>
        <v>#DIV/0!</v>
      </c>
      <c r="L75" s="106">
        <f>G75-F75</f>
        <v>0</v>
      </c>
    </row>
    <row r="76" spans="1:12" s="28" customFormat="1">
      <c r="A76" s="95" t="s">
        <v>23</v>
      </c>
      <c r="B76" s="96" t="s">
        <v>25</v>
      </c>
      <c r="C76" s="97">
        <f>C77+C81+C89</f>
        <v>233168.6</v>
      </c>
      <c r="D76" s="97">
        <f>D77+D81+D89</f>
        <v>235680.2</v>
      </c>
      <c r="E76" s="97">
        <f>E77+E81+E89</f>
        <v>64451</v>
      </c>
      <c r="F76" s="97">
        <f>F77+F81+F89</f>
        <v>55796.9</v>
      </c>
      <c r="G76" s="97">
        <f>G77+G81+G89</f>
        <v>63717.7</v>
      </c>
      <c r="H76" s="98">
        <f>G76/$G$151</f>
        <v>0.496</v>
      </c>
      <c r="I76" s="150">
        <f>IF(E76=0,"0,0%",G76/E76)</f>
        <v>0.98899999999999999</v>
      </c>
      <c r="J76" s="99">
        <f t="shared" si="41"/>
        <v>-171962.5</v>
      </c>
      <c r="K76" s="98">
        <f t="shared" si="42"/>
        <v>0.27</v>
      </c>
      <c r="L76" s="100">
        <f t="shared" si="43"/>
        <v>7920.8</v>
      </c>
    </row>
    <row r="77" spans="1:12">
      <c r="A77" s="4" t="s">
        <v>53</v>
      </c>
      <c r="B77" s="10" t="s">
        <v>103</v>
      </c>
      <c r="C77" s="126">
        <v>25000</v>
      </c>
      <c r="D77" s="8">
        <v>25000</v>
      </c>
      <c r="E77" s="8">
        <v>5855.7</v>
      </c>
      <c r="F77" s="182">
        <v>5978.9</v>
      </c>
      <c r="G77" s="8">
        <v>5855.7</v>
      </c>
      <c r="H77" s="107">
        <f>G77/$G$151</f>
        <v>4.5999999999999999E-2</v>
      </c>
      <c r="I77" s="150">
        <f>IF(E77=0,"0,0%",G77/E77)</f>
        <v>1</v>
      </c>
      <c r="J77" s="108">
        <f t="shared" si="41"/>
        <v>-19144.3</v>
      </c>
      <c r="K77" s="107">
        <f t="shared" si="42"/>
        <v>0.23400000000000001</v>
      </c>
      <c r="L77" s="106">
        <f t="shared" si="43"/>
        <v>-123.2</v>
      </c>
    </row>
    <row r="78" spans="1:12">
      <c r="A78" s="4"/>
      <c r="B78" s="9" t="s">
        <v>26</v>
      </c>
      <c r="C78" s="126"/>
      <c r="D78" s="8"/>
      <c r="E78" s="8"/>
      <c r="F78" s="201"/>
      <c r="G78" s="22"/>
      <c r="H78" s="107"/>
      <c r="I78" s="107"/>
      <c r="J78" s="108"/>
      <c r="K78" s="107"/>
      <c r="L78" s="106"/>
    </row>
    <row r="79" spans="1:12" ht="54">
      <c r="A79" s="4"/>
      <c r="B79" s="10" t="s">
        <v>129</v>
      </c>
      <c r="C79" s="126">
        <v>25000</v>
      </c>
      <c r="D79" s="8">
        <v>25000</v>
      </c>
      <c r="E79" s="8">
        <v>5855.7</v>
      </c>
      <c r="F79" s="182">
        <v>5978.9</v>
      </c>
      <c r="G79" s="8">
        <v>5855.7</v>
      </c>
      <c r="H79" s="107">
        <f>G79/$G$151</f>
        <v>4.5999999999999999E-2</v>
      </c>
      <c r="I79" s="150">
        <f>IF(E79=0,"0,0%",G79/E79)</f>
        <v>1</v>
      </c>
      <c r="J79" s="108">
        <f t="shared" si="41"/>
        <v>-19144.3</v>
      </c>
      <c r="K79" s="107">
        <f t="shared" si="42"/>
        <v>0.23400000000000001</v>
      </c>
      <c r="L79" s="106">
        <f t="shared" si="43"/>
        <v>-123.2</v>
      </c>
    </row>
    <row r="80" spans="1:12" s="49" customFormat="1" hidden="1">
      <c r="A80" s="17"/>
      <c r="B80" s="40" t="s">
        <v>172</v>
      </c>
      <c r="C80" s="176"/>
      <c r="D80" s="41"/>
      <c r="E80" s="41"/>
      <c r="F80" s="183">
        <v>0</v>
      </c>
      <c r="G80" s="41"/>
      <c r="H80" s="115">
        <f>G80/$G$151</f>
        <v>0</v>
      </c>
      <c r="I80" s="150" t="str">
        <f>IF(E80=0,"0,0%",G80/E80)</f>
        <v>0,0%</v>
      </c>
      <c r="J80" s="116">
        <f>G80-D80</f>
        <v>0</v>
      </c>
      <c r="K80" s="115" t="e">
        <f>G80/D80</f>
        <v>#DIV/0!</v>
      </c>
      <c r="L80" s="121">
        <f>G80-F80</f>
        <v>0</v>
      </c>
    </row>
    <row r="81" spans="1:12" s="1" customFormat="1">
      <c r="A81" s="4" t="s">
        <v>104</v>
      </c>
      <c r="B81" s="10" t="s">
        <v>105</v>
      </c>
      <c r="C81" s="126">
        <v>204925.1</v>
      </c>
      <c r="D81" s="8">
        <v>207436.7</v>
      </c>
      <c r="E81" s="8">
        <v>57974</v>
      </c>
      <c r="F81" s="182">
        <v>49408.2</v>
      </c>
      <c r="G81" s="8">
        <v>57240.7</v>
      </c>
      <c r="H81" s="107">
        <f>G81/$G$151</f>
        <v>0.44600000000000001</v>
      </c>
      <c r="I81" s="150">
        <f>IF(E81=0,"0,0%",G81/E81)</f>
        <v>0.98699999999999999</v>
      </c>
      <c r="J81" s="108">
        <f t="shared" si="41"/>
        <v>-150196</v>
      </c>
      <c r="K81" s="107">
        <f t="shared" si="42"/>
        <v>0.27600000000000002</v>
      </c>
      <c r="L81" s="106">
        <f t="shared" si="43"/>
        <v>7832.5</v>
      </c>
    </row>
    <row r="82" spans="1:12" s="1" customFormat="1">
      <c r="A82" s="4"/>
      <c r="B82" s="9" t="s">
        <v>26</v>
      </c>
      <c r="C82" s="126"/>
      <c r="D82" s="8"/>
      <c r="E82" s="8"/>
      <c r="F82" s="185"/>
      <c r="G82" s="44"/>
      <c r="H82" s="107"/>
      <c r="I82" s="107"/>
      <c r="J82" s="108"/>
      <c r="K82" s="107"/>
      <c r="L82" s="106"/>
    </row>
    <row r="83" spans="1:12" s="1" customFormat="1" ht="27">
      <c r="A83" s="4"/>
      <c r="B83" s="10" t="s">
        <v>106</v>
      </c>
      <c r="C83" s="126">
        <v>146027.20000000001</v>
      </c>
      <c r="D83" s="8">
        <f>149727.2+800</f>
        <v>150527.20000000001</v>
      </c>
      <c r="E83" s="8">
        <f>57581.9</f>
        <v>57581.9</v>
      </c>
      <c r="F83" s="182">
        <v>40882.1</v>
      </c>
      <c r="G83" s="8">
        <v>56848.7</v>
      </c>
      <c r="H83" s="107">
        <f t="shared" ref="H83:H89" si="51">G83/$G$151</f>
        <v>0.443</v>
      </c>
      <c r="I83" s="150">
        <f t="shared" ref="I83:I89" si="52">IF(E83=0,"0,0%",G83/E83)</f>
        <v>0.98699999999999999</v>
      </c>
      <c r="J83" s="108">
        <f t="shared" si="41"/>
        <v>-93678.5</v>
      </c>
      <c r="K83" s="107">
        <f t="shared" si="42"/>
        <v>0.378</v>
      </c>
      <c r="L83" s="106">
        <f t="shared" si="43"/>
        <v>15966.6</v>
      </c>
    </row>
    <row r="84" spans="1:12" s="1" customFormat="1" ht="27">
      <c r="A84" s="207" t="s">
        <v>192</v>
      </c>
      <c r="B84" s="10" t="s">
        <v>107</v>
      </c>
      <c r="C84" s="126">
        <v>58897.9</v>
      </c>
      <c r="D84" s="8">
        <v>56629.9</v>
      </c>
      <c r="E84" s="8">
        <v>0</v>
      </c>
      <c r="F84" s="182">
        <v>3504.2</v>
      </c>
      <c r="G84" s="8">
        <v>112.4</v>
      </c>
      <c r="H84" s="107">
        <f t="shared" si="51"/>
        <v>1E-3</v>
      </c>
      <c r="I84" s="150" t="str">
        <f t="shared" si="52"/>
        <v>0,0%</v>
      </c>
      <c r="J84" s="108">
        <f t="shared" si="41"/>
        <v>-56517.5</v>
      </c>
      <c r="K84" s="107">
        <f t="shared" si="42"/>
        <v>2E-3</v>
      </c>
      <c r="L84" s="106">
        <f t="shared" si="43"/>
        <v>-3391.8</v>
      </c>
    </row>
    <row r="85" spans="1:12" s="1" customFormat="1" ht="67.5" hidden="1">
      <c r="A85" s="4"/>
      <c r="B85" s="10" t="s">
        <v>147</v>
      </c>
      <c r="C85" s="126"/>
      <c r="D85" s="8"/>
      <c r="E85" s="8"/>
      <c r="F85" s="182">
        <v>0</v>
      </c>
      <c r="G85" s="8">
        <v>0</v>
      </c>
      <c r="H85" s="107">
        <f t="shared" si="51"/>
        <v>0</v>
      </c>
      <c r="I85" s="150" t="str">
        <f t="shared" si="52"/>
        <v>0,0%</v>
      </c>
      <c r="J85" s="108">
        <f t="shared" si="41"/>
        <v>0</v>
      </c>
      <c r="K85" s="107" t="e">
        <f t="shared" si="42"/>
        <v>#DIV/0!</v>
      </c>
      <c r="L85" s="106">
        <f t="shared" si="43"/>
        <v>0</v>
      </c>
    </row>
    <row r="86" spans="1:12" s="1" customFormat="1" ht="54" hidden="1">
      <c r="A86" s="4"/>
      <c r="B86" s="10" t="s">
        <v>148</v>
      </c>
      <c r="C86" s="126"/>
      <c r="D86" s="8"/>
      <c r="E86" s="8"/>
      <c r="F86" s="182">
        <v>0</v>
      </c>
      <c r="G86" s="8">
        <v>0</v>
      </c>
      <c r="H86" s="107">
        <f t="shared" si="51"/>
        <v>0</v>
      </c>
      <c r="I86" s="150" t="str">
        <f t="shared" si="52"/>
        <v>0,0%</v>
      </c>
      <c r="J86" s="108">
        <f t="shared" si="41"/>
        <v>0</v>
      </c>
      <c r="K86" s="107" t="e">
        <f t="shared" si="42"/>
        <v>#DIV/0!</v>
      </c>
      <c r="L86" s="106">
        <f t="shared" si="43"/>
        <v>0</v>
      </c>
    </row>
    <row r="87" spans="1:12" s="1" customFormat="1" ht="40.5" hidden="1">
      <c r="A87" s="4"/>
      <c r="B87" s="10" t="s">
        <v>108</v>
      </c>
      <c r="C87" s="126"/>
      <c r="D87" s="8"/>
      <c r="E87" s="8"/>
      <c r="F87" s="182">
        <v>0</v>
      </c>
      <c r="G87" s="8">
        <v>0</v>
      </c>
      <c r="H87" s="107">
        <f t="shared" si="51"/>
        <v>0</v>
      </c>
      <c r="I87" s="150" t="str">
        <f t="shared" si="52"/>
        <v>0,0%</v>
      </c>
      <c r="J87" s="108">
        <f t="shared" si="41"/>
        <v>0</v>
      </c>
      <c r="K87" s="107" t="e">
        <f>G87/D87</f>
        <v>#DIV/0!</v>
      </c>
      <c r="L87" s="106">
        <f t="shared" si="43"/>
        <v>0</v>
      </c>
    </row>
    <row r="88" spans="1:12" s="49" customFormat="1" hidden="1">
      <c r="A88" s="17"/>
      <c r="B88" s="40" t="s">
        <v>172</v>
      </c>
      <c r="C88" s="176"/>
      <c r="D88" s="41"/>
      <c r="E88" s="41"/>
      <c r="F88" s="183">
        <v>0</v>
      </c>
      <c r="G88" s="41">
        <v>0</v>
      </c>
      <c r="H88" s="115">
        <f t="shared" si="51"/>
        <v>0</v>
      </c>
      <c r="I88" s="150" t="str">
        <f>IF(E88=0,"0,0%",G88/E88)</f>
        <v>0,0%</v>
      </c>
      <c r="J88" s="116">
        <f>G88-D88</f>
        <v>0</v>
      </c>
      <c r="K88" s="115" t="e">
        <f>G88/D88</f>
        <v>#DIV/0!</v>
      </c>
      <c r="L88" s="121">
        <f>G88-F88</f>
        <v>0</v>
      </c>
    </row>
    <row r="89" spans="1:12" s="1" customFormat="1" ht="27">
      <c r="A89" s="4" t="s">
        <v>193</v>
      </c>
      <c r="B89" s="10" t="s">
        <v>161</v>
      </c>
      <c r="C89" s="126">
        <v>3243.5</v>
      </c>
      <c r="D89" s="8">
        <v>3243.5</v>
      </c>
      <c r="E89" s="8">
        <v>621.29999999999995</v>
      </c>
      <c r="F89" s="182">
        <v>409.8</v>
      </c>
      <c r="G89" s="8">
        <v>621.29999999999995</v>
      </c>
      <c r="H89" s="107">
        <f t="shared" si="51"/>
        <v>5.0000000000000001E-3</v>
      </c>
      <c r="I89" s="150">
        <f t="shared" si="52"/>
        <v>1</v>
      </c>
      <c r="J89" s="108">
        <f t="shared" si="41"/>
        <v>-2622.2</v>
      </c>
      <c r="K89" s="107">
        <f t="shared" si="42"/>
        <v>0.192</v>
      </c>
      <c r="L89" s="106">
        <f>G89-F89</f>
        <v>211.5</v>
      </c>
    </row>
    <row r="90" spans="1:12" s="1" customFormat="1">
      <c r="A90" s="4"/>
      <c r="B90" s="9" t="s">
        <v>26</v>
      </c>
      <c r="C90" s="126"/>
      <c r="D90" s="8"/>
      <c r="E90" s="8"/>
      <c r="F90" s="182"/>
      <c r="G90" s="8"/>
      <c r="H90" s="107"/>
      <c r="I90" s="107"/>
      <c r="J90" s="108"/>
      <c r="K90" s="107"/>
      <c r="L90" s="106"/>
    </row>
    <row r="91" spans="1:12" s="49" customFormat="1" ht="54">
      <c r="A91" s="17"/>
      <c r="B91" s="40" t="s">
        <v>195</v>
      </c>
      <c r="C91" s="176">
        <v>2293.5</v>
      </c>
      <c r="D91" s="41">
        <v>2293.5</v>
      </c>
      <c r="E91" s="41">
        <v>2293.5</v>
      </c>
      <c r="F91" s="183">
        <v>409.8</v>
      </c>
      <c r="G91" s="41">
        <v>621.29999999999995</v>
      </c>
      <c r="H91" s="115">
        <f>G91/$G$151</f>
        <v>5.0000000000000001E-3</v>
      </c>
      <c r="I91" s="150">
        <f>IF(E91=0,"0,0%",G91/E91)</f>
        <v>0.27100000000000002</v>
      </c>
      <c r="J91" s="116">
        <f>G91-D91</f>
        <v>-1672.2</v>
      </c>
      <c r="K91" s="115">
        <f>G91/D91</f>
        <v>0.27100000000000002</v>
      </c>
      <c r="L91" s="121">
        <f>G91-F91</f>
        <v>211.5</v>
      </c>
    </row>
    <row r="92" spans="1:12" s="49" customFormat="1" ht="54">
      <c r="A92" s="17"/>
      <c r="B92" s="40" t="s">
        <v>194</v>
      </c>
      <c r="C92" s="176">
        <v>950</v>
      </c>
      <c r="D92" s="41">
        <v>950</v>
      </c>
      <c r="E92" s="41">
        <v>0</v>
      </c>
      <c r="F92" s="183">
        <v>0</v>
      </c>
      <c r="G92" s="41">
        <v>0</v>
      </c>
      <c r="H92" s="115">
        <f>G92/$G$151</f>
        <v>0</v>
      </c>
      <c r="I92" s="150" t="str">
        <f>IF(E92=0,"0,0%",G92/E92)</f>
        <v>0,0%</v>
      </c>
      <c r="J92" s="116">
        <f>G92-D92</f>
        <v>-950</v>
      </c>
      <c r="K92" s="115">
        <f>G92/D92</f>
        <v>0</v>
      </c>
      <c r="L92" s="121">
        <f>G92-F92</f>
        <v>0</v>
      </c>
    </row>
    <row r="93" spans="1:12" s="1" customFormat="1">
      <c r="A93" s="143"/>
      <c r="B93" s="188" t="s">
        <v>155</v>
      </c>
      <c r="C93" s="134"/>
      <c r="D93" s="134"/>
      <c r="E93" s="134"/>
      <c r="F93" s="134"/>
      <c r="G93" s="134"/>
      <c r="H93" s="107"/>
      <c r="I93" s="107"/>
      <c r="J93" s="108"/>
      <c r="K93" s="107"/>
      <c r="L93" s="106"/>
    </row>
    <row r="94" spans="1:12" s="1" customFormat="1">
      <c r="A94" s="143"/>
      <c r="B94" s="142" t="s">
        <v>196</v>
      </c>
      <c r="C94" s="134">
        <v>204925.1</v>
      </c>
      <c r="D94" s="134">
        <v>159486.20000000001</v>
      </c>
      <c r="E94" s="134">
        <v>57581.9</v>
      </c>
      <c r="F94" s="134">
        <v>5021.8999999999996</v>
      </c>
      <c r="G94" s="134">
        <v>56848.7</v>
      </c>
      <c r="H94" s="107">
        <f>G94/$G$151</f>
        <v>0.443</v>
      </c>
      <c r="I94" s="150">
        <f>IF(E94=0,"0,0%",G94/E94)</f>
        <v>0.98699999999999999</v>
      </c>
      <c r="J94" s="108">
        <f t="shared" si="41"/>
        <v>-102637.5</v>
      </c>
      <c r="K94" s="107">
        <f t="shared" si="42"/>
        <v>0.35599999999999998</v>
      </c>
      <c r="L94" s="106">
        <f t="shared" si="43"/>
        <v>51826.8</v>
      </c>
    </row>
    <row r="95" spans="1:12" s="28" customFormat="1">
      <c r="A95" s="95" t="s">
        <v>21</v>
      </c>
      <c r="B95" s="102" t="s">
        <v>8</v>
      </c>
      <c r="C95" s="100">
        <f>C96+C105+C111+C102</f>
        <v>215753.7</v>
      </c>
      <c r="D95" s="100">
        <f t="shared" ref="D95:G95" si="53">D96+D105+D111+D102</f>
        <v>236795</v>
      </c>
      <c r="E95" s="100">
        <f t="shared" si="53"/>
        <v>35451.9</v>
      </c>
      <c r="F95" s="100">
        <f t="shared" si="53"/>
        <v>21532.1</v>
      </c>
      <c r="G95" s="100">
        <f t="shared" si="53"/>
        <v>32037.4</v>
      </c>
      <c r="H95" s="98">
        <f>G95/$G$151</f>
        <v>0.25</v>
      </c>
      <c r="I95" s="150">
        <f>IF(E95=0,"0,0%",G95/E95)</f>
        <v>0.90400000000000003</v>
      </c>
      <c r="J95" s="99">
        <f t="shared" si="41"/>
        <v>-204757.6</v>
      </c>
      <c r="K95" s="98">
        <f t="shared" si="42"/>
        <v>0.13500000000000001</v>
      </c>
      <c r="L95" s="100">
        <f t="shared" si="43"/>
        <v>10505.3</v>
      </c>
    </row>
    <row r="96" spans="1:12">
      <c r="A96" s="17" t="s">
        <v>63</v>
      </c>
      <c r="B96" s="39" t="s">
        <v>80</v>
      </c>
      <c r="C96" s="176">
        <v>108620.8</v>
      </c>
      <c r="D96" s="41">
        <v>128615.6</v>
      </c>
      <c r="E96" s="41">
        <v>7257.4</v>
      </c>
      <c r="F96" s="183">
        <v>1556.1</v>
      </c>
      <c r="G96" s="41">
        <v>7102.3</v>
      </c>
      <c r="H96" s="107">
        <f>G96/$G$151</f>
        <v>5.5E-2</v>
      </c>
      <c r="I96" s="150">
        <f>IF(E96=0,"0,0%",G96/E96)</f>
        <v>0.97899999999999998</v>
      </c>
      <c r="J96" s="108">
        <f t="shared" si="41"/>
        <v>-121513.3</v>
      </c>
      <c r="K96" s="107">
        <f t="shared" si="42"/>
        <v>5.5E-2</v>
      </c>
      <c r="L96" s="106">
        <f t="shared" si="43"/>
        <v>5546.2</v>
      </c>
    </row>
    <row r="97" spans="1:12">
      <c r="A97" s="17"/>
      <c r="B97" s="39" t="s">
        <v>26</v>
      </c>
      <c r="C97" s="178"/>
      <c r="D97" s="6"/>
      <c r="E97" s="6"/>
      <c r="F97" s="186"/>
      <c r="G97" s="6"/>
      <c r="H97" s="107"/>
      <c r="I97" s="107"/>
      <c r="J97" s="108"/>
      <c r="K97" s="107"/>
      <c r="L97" s="106"/>
    </row>
    <row r="98" spans="1:12" ht="40.5">
      <c r="A98" s="17"/>
      <c r="B98" s="40" t="s">
        <v>82</v>
      </c>
      <c r="C98" s="176">
        <v>1950.5</v>
      </c>
      <c r="D98" s="41">
        <v>1950.5</v>
      </c>
      <c r="E98" s="41">
        <v>550.1</v>
      </c>
      <c r="F98" s="183">
        <v>764.9</v>
      </c>
      <c r="G98" s="41">
        <v>395.1</v>
      </c>
      <c r="H98" s="107">
        <f>G98/$G$151</f>
        <v>3.0000000000000001E-3</v>
      </c>
      <c r="I98" s="150">
        <f>IF(E98=0,"0,0%",G98/E98)</f>
        <v>0.71799999999999997</v>
      </c>
      <c r="J98" s="108">
        <f t="shared" si="41"/>
        <v>-1555.4</v>
      </c>
      <c r="K98" s="107">
        <f t="shared" si="42"/>
        <v>0.20300000000000001</v>
      </c>
      <c r="L98" s="106">
        <f t="shared" si="43"/>
        <v>-369.8</v>
      </c>
    </row>
    <row r="99" spans="1:12" ht="27">
      <c r="A99" s="17"/>
      <c r="B99" s="40" t="s">
        <v>197</v>
      </c>
      <c r="C99" s="176">
        <v>5000</v>
      </c>
      <c r="D99" s="41">
        <v>7955.5</v>
      </c>
      <c r="E99" s="41">
        <v>0</v>
      </c>
      <c r="F99" s="183">
        <v>0</v>
      </c>
      <c r="G99" s="41">
        <v>0</v>
      </c>
      <c r="H99" s="107">
        <f>G99/$G$151</f>
        <v>0</v>
      </c>
      <c r="I99" s="150" t="str">
        <f>IF(E99=0,"0,0%",G99/E99)</f>
        <v>0,0%</v>
      </c>
      <c r="J99" s="108">
        <f t="shared" ref="J99" si="54">G99-D99</f>
        <v>-7955.5</v>
      </c>
      <c r="K99" s="107">
        <f t="shared" ref="K99" si="55">G99/D99</f>
        <v>0</v>
      </c>
      <c r="L99" s="106">
        <f t="shared" ref="L99" si="56">G99-F99</f>
        <v>0</v>
      </c>
    </row>
    <row r="100" spans="1:12" ht="27">
      <c r="A100" s="17"/>
      <c r="B100" s="40" t="s">
        <v>198</v>
      </c>
      <c r="C100" s="176">
        <v>100000</v>
      </c>
      <c r="D100" s="41">
        <v>100000</v>
      </c>
      <c r="E100" s="41">
        <v>0</v>
      </c>
      <c r="F100" s="183">
        <v>0</v>
      </c>
      <c r="G100" s="41">
        <v>0</v>
      </c>
      <c r="H100" s="107">
        <f>G100/$G$151</f>
        <v>0</v>
      </c>
      <c r="I100" s="150" t="str">
        <f>IF(E100=0,"0,0%",G100/E100)</f>
        <v>0,0%</v>
      </c>
      <c r="J100" s="108">
        <f t="shared" ref="J100" si="57">G100-D100</f>
        <v>-100000</v>
      </c>
      <c r="K100" s="107">
        <f t="shared" ref="K100" si="58">G100/D100</f>
        <v>0</v>
      </c>
      <c r="L100" s="106">
        <f t="shared" ref="L100" si="59">G100-F100</f>
        <v>0</v>
      </c>
    </row>
    <row r="101" spans="1:12" ht="27">
      <c r="A101" s="17"/>
      <c r="B101" s="40" t="s">
        <v>199</v>
      </c>
      <c r="C101" s="176">
        <v>1670.3</v>
      </c>
      <c r="D101" s="41">
        <v>1670.3</v>
      </c>
      <c r="E101" s="41">
        <v>0</v>
      </c>
      <c r="F101" s="183">
        <v>0</v>
      </c>
      <c r="G101" s="41">
        <v>0</v>
      </c>
      <c r="H101" s="107">
        <f>G101/$G$151</f>
        <v>0</v>
      </c>
      <c r="I101" s="150" t="str">
        <f>IF(E101=0,"0,0%",G101/E101)</f>
        <v>0,0%</v>
      </c>
      <c r="J101" s="108">
        <f t="shared" ref="J101:J102" si="60">G101-D101</f>
        <v>-1670.3</v>
      </c>
      <c r="K101" s="107">
        <f t="shared" ref="K101:K102" si="61">G101/D101</f>
        <v>0</v>
      </c>
      <c r="L101" s="106">
        <f t="shared" ref="L101:L102" si="62">G101-F101</f>
        <v>0</v>
      </c>
    </row>
    <row r="102" spans="1:12">
      <c r="A102" s="17" t="s">
        <v>200</v>
      </c>
      <c r="B102" s="11" t="s">
        <v>201</v>
      </c>
      <c r="C102" s="127">
        <v>0</v>
      </c>
      <c r="D102" s="32">
        <v>69.7</v>
      </c>
      <c r="E102" s="32">
        <v>0</v>
      </c>
      <c r="F102" s="187">
        <v>0</v>
      </c>
      <c r="G102" s="32">
        <v>0</v>
      </c>
      <c r="H102" s="107">
        <f>G102/$G$151</f>
        <v>0</v>
      </c>
      <c r="I102" s="150" t="str">
        <f>IF(E102=0,"0,0%",G102/E102)</f>
        <v>0,0%</v>
      </c>
      <c r="J102" s="108">
        <f t="shared" si="60"/>
        <v>-69.7</v>
      </c>
      <c r="K102" s="107">
        <f t="shared" si="61"/>
        <v>0</v>
      </c>
      <c r="L102" s="106">
        <f t="shared" si="62"/>
        <v>0</v>
      </c>
    </row>
    <row r="103" spans="1:12" hidden="1">
      <c r="A103" s="17"/>
      <c r="B103" s="11" t="s">
        <v>26</v>
      </c>
      <c r="C103" s="179"/>
      <c r="D103" s="32"/>
      <c r="E103" s="8"/>
      <c r="F103" s="182"/>
      <c r="G103" s="8"/>
      <c r="H103" s="107"/>
      <c r="I103" s="107"/>
      <c r="J103" s="108"/>
      <c r="K103" s="107"/>
      <c r="L103" s="106"/>
    </row>
    <row r="104" spans="1:12" hidden="1">
      <c r="A104" s="17"/>
      <c r="B104" s="10" t="s">
        <v>109</v>
      </c>
      <c r="C104" s="127"/>
      <c r="D104" s="32"/>
      <c r="E104" s="8"/>
      <c r="F104" s="182">
        <v>11256.6</v>
      </c>
      <c r="G104" s="8"/>
      <c r="H104" s="107">
        <f>G104/$G$151</f>
        <v>0</v>
      </c>
      <c r="I104" s="150" t="str">
        <f>IF(E104=0,"0,0%",G104/E104)</f>
        <v>0,0%</v>
      </c>
      <c r="J104" s="108">
        <f t="shared" ref="J104" si="63">G104-D104</f>
        <v>0</v>
      </c>
      <c r="K104" s="107" t="e">
        <f t="shared" ref="K104" si="64">G104/D104</f>
        <v>#DIV/0!</v>
      </c>
      <c r="L104" s="106">
        <f t="shared" ref="L104" si="65">G104-F104</f>
        <v>-11256.6</v>
      </c>
    </row>
    <row r="105" spans="1:12">
      <c r="A105" s="17" t="s">
        <v>47</v>
      </c>
      <c r="B105" s="11" t="s">
        <v>48</v>
      </c>
      <c r="C105" s="127">
        <v>107132.9</v>
      </c>
      <c r="D105" s="32">
        <v>107303.7</v>
      </c>
      <c r="E105" s="32">
        <v>27548.400000000001</v>
      </c>
      <c r="F105" s="187">
        <v>16654.099999999999</v>
      </c>
      <c r="G105" s="32">
        <v>24289</v>
      </c>
      <c r="H105" s="107">
        <f>G105/$G$151</f>
        <v>0.189</v>
      </c>
      <c r="I105" s="150">
        <f>IF(E105=0,"0,0%",G105/E105)</f>
        <v>0.88200000000000001</v>
      </c>
      <c r="J105" s="108">
        <f t="shared" si="41"/>
        <v>-83014.7</v>
      </c>
      <c r="K105" s="107">
        <f t="shared" si="42"/>
        <v>0.22600000000000001</v>
      </c>
      <c r="L105" s="106">
        <f t="shared" si="43"/>
        <v>7634.9</v>
      </c>
    </row>
    <row r="106" spans="1:12">
      <c r="A106" s="17"/>
      <c r="B106" s="11" t="s">
        <v>26</v>
      </c>
      <c r="C106" s="179"/>
      <c r="D106" s="32"/>
      <c r="E106" s="8"/>
      <c r="F106" s="182"/>
      <c r="G106" s="8"/>
      <c r="H106" s="107"/>
      <c r="I106" s="107"/>
      <c r="J106" s="108"/>
      <c r="K106" s="107"/>
      <c r="L106" s="106"/>
    </row>
    <row r="107" spans="1:12">
      <c r="A107" s="17"/>
      <c r="B107" s="10" t="s">
        <v>109</v>
      </c>
      <c r="C107" s="127">
        <v>60324.2</v>
      </c>
      <c r="D107" s="32">
        <f>60324.2+170.8</f>
        <v>60495</v>
      </c>
      <c r="E107" s="8">
        <f>18015.8+170.8</f>
        <v>18186.599999999999</v>
      </c>
      <c r="F107" s="182">
        <v>11256.6</v>
      </c>
      <c r="G107" s="8">
        <f>18015.6+170.8</f>
        <v>18186.400000000001</v>
      </c>
      <c r="H107" s="107">
        <f t="shared" ref="H107:H112" si="66">G107/$G$151</f>
        <v>0.14199999999999999</v>
      </c>
      <c r="I107" s="150">
        <f t="shared" ref="I107:I112" si="67">IF(E107=0,"0,0%",G107/E107)</f>
        <v>1</v>
      </c>
      <c r="J107" s="108">
        <f t="shared" si="41"/>
        <v>-42308.6</v>
      </c>
      <c r="K107" s="107">
        <f t="shared" si="42"/>
        <v>0.30099999999999999</v>
      </c>
      <c r="L107" s="106">
        <f t="shared" si="43"/>
        <v>6929.8</v>
      </c>
    </row>
    <row r="108" spans="1:12">
      <c r="A108" s="17"/>
      <c r="B108" s="10" t="s">
        <v>110</v>
      </c>
      <c r="C108" s="127">
        <v>29448.1</v>
      </c>
      <c r="D108" s="32">
        <v>29448.1</v>
      </c>
      <c r="E108" s="8">
        <v>5889.6</v>
      </c>
      <c r="F108" s="182">
        <v>2762.9</v>
      </c>
      <c r="G108" s="8">
        <v>4229.3999999999996</v>
      </c>
      <c r="H108" s="107">
        <f t="shared" si="66"/>
        <v>3.3000000000000002E-2</v>
      </c>
      <c r="I108" s="150">
        <f t="shared" si="67"/>
        <v>0.71799999999999997</v>
      </c>
      <c r="J108" s="108">
        <f t="shared" si="41"/>
        <v>-25218.7</v>
      </c>
      <c r="K108" s="107">
        <f t="shared" si="42"/>
        <v>0.14399999999999999</v>
      </c>
      <c r="L108" s="106">
        <f t="shared" si="43"/>
        <v>1466.5</v>
      </c>
    </row>
    <row r="109" spans="1:12">
      <c r="A109" s="17"/>
      <c r="B109" s="10" t="s">
        <v>111</v>
      </c>
      <c r="C109" s="127">
        <v>9860.4</v>
      </c>
      <c r="D109" s="32">
        <f>2641.2+7219.2</f>
        <v>9860.4</v>
      </c>
      <c r="E109" s="8">
        <v>1972.1</v>
      </c>
      <c r="F109" s="182">
        <v>1600</v>
      </c>
      <c r="G109" s="8">
        <v>1062.3</v>
      </c>
      <c r="H109" s="107">
        <f t="shared" si="66"/>
        <v>8.0000000000000002E-3</v>
      </c>
      <c r="I109" s="150">
        <f t="shared" si="67"/>
        <v>0.53900000000000003</v>
      </c>
      <c r="J109" s="108">
        <f t="shared" si="41"/>
        <v>-8798.1</v>
      </c>
      <c r="K109" s="107">
        <f t="shared" si="42"/>
        <v>0.108</v>
      </c>
      <c r="L109" s="106">
        <f t="shared" si="43"/>
        <v>-537.70000000000005</v>
      </c>
    </row>
    <row r="110" spans="1:12" ht="27">
      <c r="A110" s="17"/>
      <c r="B110" s="10" t="s">
        <v>112</v>
      </c>
      <c r="C110" s="127">
        <v>7500.2</v>
      </c>
      <c r="D110" s="32">
        <v>7500.2</v>
      </c>
      <c r="E110" s="8">
        <v>1500</v>
      </c>
      <c r="F110" s="182">
        <v>1034.5999999999999</v>
      </c>
      <c r="G110" s="8">
        <v>810.9</v>
      </c>
      <c r="H110" s="107">
        <f t="shared" si="66"/>
        <v>6.0000000000000001E-3</v>
      </c>
      <c r="I110" s="150">
        <f t="shared" si="67"/>
        <v>0.54100000000000004</v>
      </c>
      <c r="J110" s="108">
        <f t="shared" si="41"/>
        <v>-6689.3</v>
      </c>
      <c r="K110" s="107">
        <f t="shared" si="42"/>
        <v>0.108</v>
      </c>
      <c r="L110" s="106">
        <f t="shared" si="43"/>
        <v>-223.7</v>
      </c>
    </row>
    <row r="111" spans="1:12" s="1" customFormat="1" ht="27">
      <c r="A111" s="17" t="s">
        <v>64</v>
      </c>
      <c r="B111" s="10" t="s">
        <v>65</v>
      </c>
      <c r="C111" s="127">
        <v>0</v>
      </c>
      <c r="D111" s="32">
        <v>806</v>
      </c>
      <c r="E111" s="8">
        <v>646.1</v>
      </c>
      <c r="F111" s="182">
        <v>3321.9</v>
      </c>
      <c r="G111" s="8">
        <v>646.1</v>
      </c>
      <c r="H111" s="107">
        <f t="shared" si="66"/>
        <v>5.0000000000000001E-3</v>
      </c>
      <c r="I111" s="150">
        <f t="shared" si="67"/>
        <v>1</v>
      </c>
      <c r="J111" s="108">
        <f t="shared" si="41"/>
        <v>-159.9</v>
      </c>
      <c r="K111" s="107">
        <f t="shared" si="42"/>
        <v>0.80200000000000005</v>
      </c>
      <c r="L111" s="106">
        <f t="shared" si="43"/>
        <v>-2675.8</v>
      </c>
    </row>
    <row r="112" spans="1:12" s="1" customFormat="1">
      <c r="A112" s="17"/>
      <c r="B112" s="10" t="s">
        <v>202</v>
      </c>
      <c r="C112" s="127">
        <v>0</v>
      </c>
      <c r="D112" s="32">
        <v>806</v>
      </c>
      <c r="E112" s="8">
        <v>646.1</v>
      </c>
      <c r="F112" s="182">
        <v>0</v>
      </c>
      <c r="G112" s="8">
        <v>646.1</v>
      </c>
      <c r="H112" s="107">
        <f t="shared" si="66"/>
        <v>5.0000000000000001E-3</v>
      </c>
      <c r="I112" s="150">
        <f t="shared" si="67"/>
        <v>1</v>
      </c>
      <c r="J112" s="108">
        <f t="shared" ref="J112" si="68">G112-D112</f>
        <v>-159.9</v>
      </c>
      <c r="K112" s="107">
        <f t="shared" ref="K112" si="69">G112/D112</f>
        <v>0.80200000000000005</v>
      </c>
      <c r="L112" s="106">
        <f t="shared" ref="L112" si="70">G112-F112</f>
        <v>646.1</v>
      </c>
    </row>
    <row r="113" spans="1:12">
      <c r="A113" s="132"/>
      <c r="B113" s="133" t="s">
        <v>156</v>
      </c>
      <c r="C113" s="133"/>
      <c r="D113" s="134"/>
      <c r="E113" s="134"/>
      <c r="F113" s="134"/>
      <c r="G113" s="134"/>
      <c r="H113" s="107"/>
      <c r="I113" s="107"/>
      <c r="J113" s="108"/>
      <c r="K113" s="107"/>
      <c r="L113" s="106"/>
    </row>
    <row r="114" spans="1:12" ht="27">
      <c r="A114" s="124"/>
      <c r="B114" s="125" t="s">
        <v>115</v>
      </c>
      <c r="C114" s="126">
        <v>0</v>
      </c>
      <c r="D114" s="126">
        <v>0</v>
      </c>
      <c r="E114" s="126">
        <v>0</v>
      </c>
      <c r="F114" s="126">
        <v>3268.7</v>
      </c>
      <c r="G114" s="126">
        <v>0</v>
      </c>
      <c r="H114" s="107">
        <f t="shared" ref="H114:H120" si="71">G114/$G$151</f>
        <v>0</v>
      </c>
      <c r="I114" s="150" t="str">
        <f t="shared" ref="I114:I120" si="72">IF(E114=0,"0,0%",G114/E114)</f>
        <v>0,0%</v>
      </c>
      <c r="J114" s="108">
        <f>G114-D114</f>
        <v>0</v>
      </c>
      <c r="K114" s="107">
        <v>0</v>
      </c>
      <c r="L114" s="106">
        <f>G114-F114</f>
        <v>-3268.7</v>
      </c>
    </row>
    <row r="115" spans="1:12" s="192" customFormat="1" hidden="1">
      <c r="A115" s="194"/>
      <c r="B115" s="195" t="s">
        <v>172</v>
      </c>
      <c r="C115" s="196"/>
      <c r="D115" s="196"/>
      <c r="E115" s="196"/>
      <c r="F115" s="196">
        <v>0</v>
      </c>
      <c r="G115" s="196">
        <v>0</v>
      </c>
      <c r="H115" s="189">
        <f>G115/$G$151</f>
        <v>0</v>
      </c>
      <c r="I115" s="193" t="str">
        <f>IF(E115=0,"0,0%",G115/E115)</f>
        <v>0,0%</v>
      </c>
      <c r="J115" s="190">
        <f>G115-D115</f>
        <v>0</v>
      </c>
      <c r="K115" s="189" t="e">
        <f>G115/D115</f>
        <v>#DIV/0!</v>
      </c>
      <c r="L115" s="191">
        <f>G115-F115</f>
        <v>0</v>
      </c>
    </row>
    <row r="116" spans="1:12">
      <c r="A116" s="124"/>
      <c r="B116" s="142" t="s">
        <v>196</v>
      </c>
      <c r="C116" s="127">
        <v>211162</v>
      </c>
      <c r="D116" s="127">
        <v>214117.5</v>
      </c>
      <c r="E116" s="127">
        <v>26849.3</v>
      </c>
      <c r="F116" s="127">
        <v>791.3</v>
      </c>
      <c r="G116" s="127">
        <v>23845.9</v>
      </c>
      <c r="H116" s="107">
        <f t="shared" si="71"/>
        <v>0.186</v>
      </c>
      <c r="I116" s="150">
        <f t="shared" si="72"/>
        <v>0.88800000000000001</v>
      </c>
      <c r="J116" s="108">
        <f>G116-D116</f>
        <v>-190271.6</v>
      </c>
      <c r="K116" s="107">
        <f>G116/D116</f>
        <v>0.111</v>
      </c>
      <c r="L116" s="106">
        <f>G116-F116</f>
        <v>23054.6</v>
      </c>
    </row>
    <row r="117" spans="1:12" s="28" customFormat="1">
      <c r="A117" s="95" t="s">
        <v>128</v>
      </c>
      <c r="B117" s="103" t="s">
        <v>127</v>
      </c>
      <c r="C117" s="97">
        <f>C118</f>
        <v>20423.900000000001</v>
      </c>
      <c r="D117" s="97">
        <f>D118</f>
        <v>20410.900000000001</v>
      </c>
      <c r="E117" s="97">
        <f>E118</f>
        <v>3616.9</v>
      </c>
      <c r="F117" s="97">
        <f>F118</f>
        <v>2938.8</v>
      </c>
      <c r="G117" s="97">
        <f>G118</f>
        <v>3616.9</v>
      </c>
      <c r="H117" s="98">
        <f t="shared" si="71"/>
        <v>2.8000000000000001E-2</v>
      </c>
      <c r="I117" s="150">
        <f t="shared" si="72"/>
        <v>1</v>
      </c>
      <c r="J117" s="99">
        <f t="shared" si="41"/>
        <v>-16794</v>
      </c>
      <c r="K117" s="98">
        <f t="shared" si="42"/>
        <v>0.17699999999999999</v>
      </c>
      <c r="L117" s="100">
        <f t="shared" si="43"/>
        <v>678.1</v>
      </c>
    </row>
    <row r="118" spans="1:12" s="49" customFormat="1">
      <c r="A118" s="129" t="s">
        <v>50</v>
      </c>
      <c r="B118" s="130" t="s">
        <v>59</v>
      </c>
      <c r="C118" s="121">
        <f>C119+C120+214.3</f>
        <v>20423.900000000001</v>
      </c>
      <c r="D118" s="121">
        <f>D119+D120</f>
        <v>20410.900000000001</v>
      </c>
      <c r="E118" s="121">
        <f>E119+E120</f>
        <v>3616.9</v>
      </c>
      <c r="F118" s="121">
        <f>F119+F120</f>
        <v>2938.8</v>
      </c>
      <c r="G118" s="121">
        <f>G119+G120</f>
        <v>3616.9</v>
      </c>
      <c r="H118" s="107">
        <f t="shared" si="71"/>
        <v>2.8000000000000001E-2</v>
      </c>
      <c r="I118" s="150">
        <f t="shared" si="72"/>
        <v>1</v>
      </c>
      <c r="J118" s="108">
        <f t="shared" si="41"/>
        <v>-16794</v>
      </c>
      <c r="K118" s="107">
        <f t="shared" si="42"/>
        <v>0.17699999999999999</v>
      </c>
      <c r="L118" s="106">
        <f t="shared" si="43"/>
        <v>678.1</v>
      </c>
    </row>
    <row r="119" spans="1:12" ht="54">
      <c r="A119" s="18"/>
      <c r="B119" s="10" t="s">
        <v>113</v>
      </c>
      <c r="C119" s="126">
        <v>15912.8</v>
      </c>
      <c r="D119" s="8">
        <v>16127.1</v>
      </c>
      <c r="E119" s="8">
        <v>2985.7</v>
      </c>
      <c r="F119" s="182">
        <v>1967.8</v>
      </c>
      <c r="G119" s="8">
        <v>2985.7</v>
      </c>
      <c r="H119" s="107">
        <f t="shared" si="71"/>
        <v>2.3E-2</v>
      </c>
      <c r="I119" s="150">
        <f t="shared" si="72"/>
        <v>1</v>
      </c>
      <c r="J119" s="108">
        <f t="shared" si="41"/>
        <v>-13141.4</v>
      </c>
      <c r="K119" s="107">
        <f t="shared" si="42"/>
        <v>0.185</v>
      </c>
      <c r="L119" s="106">
        <f t="shared" si="43"/>
        <v>1017.9</v>
      </c>
    </row>
    <row r="120" spans="1:12" ht="27">
      <c r="A120" s="18"/>
      <c r="B120" s="10" t="s">
        <v>114</v>
      </c>
      <c r="C120" s="126">
        <v>4296.8</v>
      </c>
      <c r="D120" s="8">
        <v>4283.8</v>
      </c>
      <c r="E120" s="8">
        <v>631.20000000000005</v>
      </c>
      <c r="F120" s="182">
        <v>971</v>
      </c>
      <c r="G120" s="8">
        <v>631.20000000000005</v>
      </c>
      <c r="H120" s="107">
        <f t="shared" si="71"/>
        <v>5.0000000000000001E-3</v>
      </c>
      <c r="I120" s="150">
        <f t="shared" si="72"/>
        <v>1</v>
      </c>
      <c r="J120" s="108">
        <f t="shared" si="41"/>
        <v>-3652.6</v>
      </c>
      <c r="K120" s="107">
        <f t="shared" si="42"/>
        <v>0.14699999999999999</v>
      </c>
      <c r="L120" s="106">
        <f t="shared" si="43"/>
        <v>-339.8</v>
      </c>
    </row>
    <row r="121" spans="1:12">
      <c r="A121" s="132"/>
      <c r="B121" s="133" t="s">
        <v>157</v>
      </c>
      <c r="C121" s="133"/>
      <c r="D121" s="134"/>
      <c r="E121" s="134"/>
      <c r="F121" s="134"/>
      <c r="G121" s="134"/>
      <c r="H121" s="107"/>
      <c r="I121" s="107"/>
      <c r="J121" s="108"/>
      <c r="K121" s="107"/>
      <c r="L121" s="106"/>
    </row>
    <row r="122" spans="1:12" ht="27">
      <c r="A122" s="124"/>
      <c r="B122" s="125" t="s">
        <v>115</v>
      </c>
      <c r="C122" s="126">
        <v>12808.1</v>
      </c>
      <c r="D122" s="126">
        <v>12808.1</v>
      </c>
      <c r="E122" s="126">
        <v>2976.2</v>
      </c>
      <c r="F122" s="126">
        <v>1712.7</v>
      </c>
      <c r="G122" s="126">
        <v>2976.2</v>
      </c>
      <c r="H122" s="107">
        <f t="shared" ref="H122:H128" si="73">G122/$G$151</f>
        <v>2.3E-2</v>
      </c>
      <c r="I122" s="150">
        <f t="shared" ref="I122:I128" si="74">IF(E122=0,"0,0%",G122/E122)</f>
        <v>1</v>
      </c>
      <c r="J122" s="108">
        <f>G122-D122</f>
        <v>-9831.9</v>
      </c>
      <c r="K122" s="107">
        <f>G122/D122</f>
        <v>0.23200000000000001</v>
      </c>
      <c r="L122" s="106">
        <f>G122-F122</f>
        <v>1263.5</v>
      </c>
    </row>
    <row r="123" spans="1:12">
      <c r="A123" s="124"/>
      <c r="B123" s="125" t="s">
        <v>119</v>
      </c>
      <c r="C123" s="126">
        <v>1531.5</v>
      </c>
      <c r="D123" s="126">
        <v>1589.5</v>
      </c>
      <c r="E123" s="126">
        <v>52.7</v>
      </c>
      <c r="F123" s="126">
        <v>177</v>
      </c>
      <c r="G123" s="126">
        <v>52.7</v>
      </c>
      <c r="H123" s="107">
        <f t="shared" si="73"/>
        <v>0</v>
      </c>
      <c r="I123" s="150">
        <f t="shared" si="74"/>
        <v>1</v>
      </c>
      <c r="J123" s="108">
        <f>G123-D123</f>
        <v>-1536.8</v>
      </c>
      <c r="K123" s="107">
        <f>G123/D123</f>
        <v>3.3000000000000002E-2</v>
      </c>
      <c r="L123" s="106">
        <f>G123-F123</f>
        <v>-124.3</v>
      </c>
    </row>
    <row r="124" spans="1:12">
      <c r="A124" s="124"/>
      <c r="B124" s="142" t="s">
        <v>196</v>
      </c>
      <c r="C124" s="127">
        <v>3896.8</v>
      </c>
      <c r="D124" s="127">
        <v>3896.8</v>
      </c>
      <c r="E124" s="127">
        <v>250.9</v>
      </c>
      <c r="F124" s="127">
        <v>971</v>
      </c>
      <c r="G124" s="127">
        <v>250.9</v>
      </c>
      <c r="H124" s="107">
        <f t="shared" si="73"/>
        <v>2E-3</v>
      </c>
      <c r="I124" s="150">
        <f t="shared" si="74"/>
        <v>1</v>
      </c>
      <c r="J124" s="108">
        <f>G124-D124</f>
        <v>-3645.9</v>
      </c>
      <c r="K124" s="107">
        <f>G124/D124</f>
        <v>6.4000000000000001E-2</v>
      </c>
      <c r="L124" s="106">
        <f>G124-F124</f>
        <v>-720.1</v>
      </c>
    </row>
    <row r="125" spans="1:12" s="28" customFormat="1">
      <c r="A125" s="95" t="s">
        <v>68</v>
      </c>
      <c r="B125" s="101" t="s">
        <v>116</v>
      </c>
      <c r="C125" s="97">
        <f>C126+C130</f>
        <v>64580.7</v>
      </c>
      <c r="D125" s="97">
        <f>D126+D130</f>
        <v>64580.7</v>
      </c>
      <c r="E125" s="97">
        <f>E126+E130</f>
        <v>13576.4</v>
      </c>
      <c r="F125" s="97">
        <f>F126+F130</f>
        <v>8195.1</v>
      </c>
      <c r="G125" s="97">
        <f>G126+G130</f>
        <v>13576.4</v>
      </c>
      <c r="H125" s="98">
        <f t="shared" si="73"/>
        <v>0.106</v>
      </c>
      <c r="I125" s="150">
        <f t="shared" si="74"/>
        <v>1</v>
      </c>
      <c r="J125" s="99">
        <f t="shared" si="41"/>
        <v>-51004.3</v>
      </c>
      <c r="K125" s="98">
        <f t="shared" si="42"/>
        <v>0.21</v>
      </c>
      <c r="L125" s="100">
        <f t="shared" si="43"/>
        <v>5381.3</v>
      </c>
    </row>
    <row r="126" spans="1:12" s="49" customFormat="1">
      <c r="A126" s="129" t="s">
        <v>70</v>
      </c>
      <c r="B126" s="130" t="s">
        <v>69</v>
      </c>
      <c r="C126" s="131">
        <f>C127+C128+1127.8</f>
        <v>64035.3</v>
      </c>
      <c r="D126" s="131">
        <f>D127+D128+100</f>
        <v>64035.3</v>
      </c>
      <c r="E126" s="131">
        <f>E127+E128</f>
        <v>13459.6</v>
      </c>
      <c r="F126" s="131">
        <f>F127+F128</f>
        <v>6672.3</v>
      </c>
      <c r="G126" s="131">
        <f>G127+G128</f>
        <v>13459.6</v>
      </c>
      <c r="H126" s="107">
        <f t="shared" si="73"/>
        <v>0.105</v>
      </c>
      <c r="I126" s="150">
        <f t="shared" si="74"/>
        <v>1</v>
      </c>
      <c r="J126" s="108">
        <f t="shared" ref="J126:J148" si="75">G126-D126</f>
        <v>-50575.7</v>
      </c>
      <c r="K126" s="107">
        <f t="shared" ref="K126:K148" si="76">G126/D126</f>
        <v>0.21</v>
      </c>
      <c r="L126" s="106">
        <f t="shared" ref="L126:L148" si="77">G126-F126</f>
        <v>6787.3</v>
      </c>
    </row>
    <row r="127" spans="1:12" ht="54">
      <c r="A127" s="18"/>
      <c r="B127" s="10" t="s">
        <v>113</v>
      </c>
      <c r="C127" s="126">
        <v>57655.5</v>
      </c>
      <c r="D127" s="8">
        <v>58434.400000000001</v>
      </c>
      <c r="E127" s="8">
        <v>13238.8</v>
      </c>
      <c r="F127" s="182">
        <v>5636.5</v>
      </c>
      <c r="G127" s="8">
        <v>13238.8</v>
      </c>
      <c r="H127" s="107">
        <f t="shared" si="73"/>
        <v>0.10299999999999999</v>
      </c>
      <c r="I127" s="150">
        <f t="shared" si="74"/>
        <v>1</v>
      </c>
      <c r="J127" s="108">
        <f t="shared" si="75"/>
        <v>-45195.6</v>
      </c>
      <c r="K127" s="107">
        <f t="shared" si="76"/>
        <v>0.22700000000000001</v>
      </c>
      <c r="L127" s="106">
        <f t="shared" si="77"/>
        <v>7602.3</v>
      </c>
    </row>
    <row r="128" spans="1:12" ht="27">
      <c r="A128" s="18"/>
      <c r="B128" s="10" t="s">
        <v>114</v>
      </c>
      <c r="C128" s="126">
        <v>5252</v>
      </c>
      <c r="D128" s="8">
        <v>5500.9</v>
      </c>
      <c r="E128" s="8">
        <v>220.8</v>
      </c>
      <c r="F128" s="182">
        <v>1035.8</v>
      </c>
      <c r="G128" s="8">
        <v>220.8</v>
      </c>
      <c r="H128" s="107">
        <f t="shared" si="73"/>
        <v>2E-3</v>
      </c>
      <c r="I128" s="150">
        <f t="shared" si="74"/>
        <v>1</v>
      </c>
      <c r="J128" s="108">
        <f t="shared" si="75"/>
        <v>-5280.1</v>
      </c>
      <c r="K128" s="107">
        <f t="shared" si="76"/>
        <v>0.04</v>
      </c>
      <c r="L128" s="106">
        <f t="shared" si="77"/>
        <v>-815</v>
      </c>
    </row>
    <row r="129" spans="1:12" hidden="1">
      <c r="A129" s="18"/>
      <c r="B129" s="11" t="s">
        <v>117</v>
      </c>
      <c r="C129" s="126"/>
      <c r="D129" s="8"/>
      <c r="E129" s="8"/>
      <c r="F129" s="182"/>
      <c r="G129" s="8"/>
      <c r="H129" s="107"/>
      <c r="I129" s="107"/>
      <c r="J129" s="108"/>
      <c r="K129" s="107"/>
      <c r="L129" s="106"/>
    </row>
    <row r="130" spans="1:12" s="49" customFormat="1" ht="27">
      <c r="A130" s="17" t="s">
        <v>85</v>
      </c>
      <c r="B130" s="20" t="s">
        <v>118</v>
      </c>
      <c r="C130" s="177">
        <v>545.4</v>
      </c>
      <c r="D130" s="23">
        <v>545.4</v>
      </c>
      <c r="E130" s="41">
        <v>116.8</v>
      </c>
      <c r="F130" s="183">
        <v>1522.8</v>
      </c>
      <c r="G130" s="41">
        <v>116.8</v>
      </c>
      <c r="H130" s="107">
        <f>G130/$G$151</f>
        <v>1E-3</v>
      </c>
      <c r="I130" s="150">
        <f>IF(E130=0,"0,0%",G130/E130)</f>
        <v>1</v>
      </c>
      <c r="J130" s="108">
        <f t="shared" si="75"/>
        <v>-428.6</v>
      </c>
      <c r="K130" s="107">
        <f t="shared" si="76"/>
        <v>0.214</v>
      </c>
      <c r="L130" s="106">
        <f t="shared" si="77"/>
        <v>-1406</v>
      </c>
    </row>
    <row r="131" spans="1:12">
      <c r="A131" s="132"/>
      <c r="B131" s="133" t="s">
        <v>158</v>
      </c>
      <c r="C131" s="133"/>
      <c r="D131" s="134"/>
      <c r="E131" s="134"/>
      <c r="F131" s="134"/>
      <c r="G131" s="134"/>
      <c r="H131" s="107"/>
      <c r="I131" s="107"/>
      <c r="J131" s="108"/>
      <c r="K131" s="107"/>
      <c r="L131" s="106"/>
    </row>
    <row r="132" spans="1:12" ht="27">
      <c r="A132" s="132"/>
      <c r="B132" s="125" t="s">
        <v>115</v>
      </c>
      <c r="C132" s="126">
        <v>47202.1</v>
      </c>
      <c r="D132" s="126">
        <v>47202.1</v>
      </c>
      <c r="E132" s="126">
        <v>10405.700000000001</v>
      </c>
      <c r="F132" s="126">
        <v>6157.8</v>
      </c>
      <c r="G132" s="126">
        <v>10405.700000000001</v>
      </c>
      <c r="H132" s="107">
        <f t="shared" ref="H132:H141" si="78">G132/$G$151</f>
        <v>8.1000000000000003E-2</v>
      </c>
      <c r="I132" s="150">
        <f t="shared" ref="I132:I141" si="79">IF(E132=0,"0,0%",G132/E132)</f>
        <v>1</v>
      </c>
      <c r="J132" s="108">
        <f>G132-D132</f>
        <v>-36796.400000000001</v>
      </c>
      <c r="K132" s="107">
        <f>G132/D132</f>
        <v>0.22</v>
      </c>
      <c r="L132" s="106">
        <f>G132-F132</f>
        <v>4247.8999999999996</v>
      </c>
    </row>
    <row r="133" spans="1:12">
      <c r="A133" s="124"/>
      <c r="B133" s="125" t="s">
        <v>119</v>
      </c>
      <c r="C133" s="126">
        <v>7040.9</v>
      </c>
      <c r="D133" s="126">
        <v>7040.9</v>
      </c>
      <c r="E133" s="126">
        <v>2377.8000000000002</v>
      </c>
      <c r="F133" s="126">
        <v>640.4</v>
      </c>
      <c r="G133" s="126">
        <v>2377.8000000000002</v>
      </c>
      <c r="H133" s="107">
        <f t="shared" si="78"/>
        <v>1.9E-2</v>
      </c>
      <c r="I133" s="150">
        <f t="shared" si="79"/>
        <v>1</v>
      </c>
      <c r="J133" s="108">
        <f>G133-D133</f>
        <v>-4663.1000000000004</v>
      </c>
      <c r="K133" s="107">
        <f>G133/D133</f>
        <v>0.33800000000000002</v>
      </c>
      <c r="L133" s="106">
        <f>G133-F133</f>
        <v>1737.4</v>
      </c>
    </row>
    <row r="134" spans="1:12">
      <c r="A134" s="124"/>
      <c r="B134" s="142" t="s">
        <v>196</v>
      </c>
      <c r="C134" s="127">
        <v>3652</v>
      </c>
      <c r="D134" s="127">
        <v>3652</v>
      </c>
      <c r="E134" s="127">
        <v>57.9</v>
      </c>
      <c r="F134" s="127">
        <v>861.9</v>
      </c>
      <c r="G134" s="127">
        <v>57.9</v>
      </c>
      <c r="H134" s="107">
        <f t="shared" si="78"/>
        <v>0</v>
      </c>
      <c r="I134" s="150">
        <f t="shared" si="79"/>
        <v>1</v>
      </c>
      <c r="J134" s="108">
        <f>G134-D134</f>
        <v>-3594.1</v>
      </c>
      <c r="K134" s="107">
        <f>G134/D134</f>
        <v>1.6E-2</v>
      </c>
      <c r="L134" s="106">
        <f>G134-F134</f>
        <v>-804</v>
      </c>
    </row>
    <row r="135" spans="1:12" s="28" customFormat="1">
      <c r="A135" s="95" t="s">
        <v>120</v>
      </c>
      <c r="B135" s="101" t="s">
        <v>121</v>
      </c>
      <c r="C135" s="97">
        <f>C136+C137</f>
        <v>592.70000000000005</v>
      </c>
      <c r="D135" s="97">
        <f>D136+D137</f>
        <v>592.70000000000005</v>
      </c>
      <c r="E135" s="97">
        <f>E136+E137</f>
        <v>132.30000000000001</v>
      </c>
      <c r="F135" s="97">
        <f>F136+F137</f>
        <v>116</v>
      </c>
      <c r="G135" s="97">
        <f>G136+G137</f>
        <v>132.30000000000001</v>
      </c>
      <c r="H135" s="98">
        <f t="shared" si="78"/>
        <v>1E-3</v>
      </c>
      <c r="I135" s="150">
        <f t="shared" si="79"/>
        <v>1</v>
      </c>
      <c r="J135" s="99">
        <f t="shared" si="75"/>
        <v>-460.4</v>
      </c>
      <c r="K135" s="98">
        <f t="shared" si="76"/>
        <v>0.223</v>
      </c>
      <c r="L135" s="100">
        <f t="shared" si="77"/>
        <v>16.3</v>
      </c>
    </row>
    <row r="136" spans="1:12" s="49" customFormat="1">
      <c r="A136" s="17" t="s">
        <v>71</v>
      </c>
      <c r="B136" s="20" t="s">
        <v>72</v>
      </c>
      <c r="C136" s="176">
        <v>592.70000000000005</v>
      </c>
      <c r="D136" s="41">
        <v>592.70000000000005</v>
      </c>
      <c r="E136" s="41">
        <v>132.30000000000001</v>
      </c>
      <c r="F136" s="183">
        <v>44</v>
      </c>
      <c r="G136" s="41">
        <v>132.30000000000001</v>
      </c>
      <c r="H136" s="107">
        <f t="shared" si="78"/>
        <v>1E-3</v>
      </c>
      <c r="I136" s="150">
        <f t="shared" si="79"/>
        <v>1</v>
      </c>
      <c r="J136" s="108">
        <f t="shared" si="75"/>
        <v>-460.4</v>
      </c>
      <c r="K136" s="107">
        <f t="shared" si="76"/>
        <v>0.223</v>
      </c>
      <c r="L136" s="106">
        <f t="shared" si="77"/>
        <v>88.3</v>
      </c>
    </row>
    <row r="137" spans="1:12" s="49" customFormat="1">
      <c r="A137" s="17" t="s">
        <v>66</v>
      </c>
      <c r="B137" s="20" t="s">
        <v>67</v>
      </c>
      <c r="C137" s="176">
        <v>0</v>
      </c>
      <c r="D137" s="41">
        <v>0</v>
      </c>
      <c r="E137" s="41">
        <v>0</v>
      </c>
      <c r="F137" s="183">
        <v>72</v>
      </c>
      <c r="G137" s="41">
        <v>0</v>
      </c>
      <c r="H137" s="107">
        <f t="shared" si="78"/>
        <v>0</v>
      </c>
      <c r="I137" s="150" t="str">
        <f t="shared" si="79"/>
        <v>0,0%</v>
      </c>
      <c r="J137" s="108">
        <f t="shared" si="75"/>
        <v>0</v>
      </c>
      <c r="K137" s="107">
        <v>0</v>
      </c>
      <c r="L137" s="106">
        <f t="shared" si="77"/>
        <v>-72</v>
      </c>
    </row>
    <row r="138" spans="1:12" s="28" customFormat="1">
      <c r="A138" s="95" t="s">
        <v>122</v>
      </c>
      <c r="B138" s="101" t="s">
        <v>56</v>
      </c>
      <c r="C138" s="100">
        <f>C139+C142</f>
        <v>6671.4</v>
      </c>
      <c r="D138" s="100">
        <f t="shared" ref="D138:G138" si="80">D139</f>
        <v>6684.4</v>
      </c>
      <c r="E138" s="100">
        <f t="shared" si="80"/>
        <v>1176.8</v>
      </c>
      <c r="F138" s="100">
        <f t="shared" si="80"/>
        <v>1071.9000000000001</v>
      </c>
      <c r="G138" s="100">
        <f t="shared" si="80"/>
        <v>1172.9000000000001</v>
      </c>
      <c r="H138" s="98">
        <f t="shared" si="78"/>
        <v>8.9999999999999993E-3</v>
      </c>
      <c r="I138" s="150">
        <f t="shared" si="79"/>
        <v>0.997</v>
      </c>
      <c r="J138" s="99">
        <f t="shared" si="75"/>
        <v>-5511.5</v>
      </c>
      <c r="K138" s="98">
        <f t="shared" si="76"/>
        <v>0.17499999999999999</v>
      </c>
      <c r="L138" s="100">
        <f t="shared" si="77"/>
        <v>101</v>
      </c>
    </row>
    <row r="139" spans="1:12" s="49" customFormat="1">
      <c r="A139" s="17" t="s">
        <v>86</v>
      </c>
      <c r="B139" s="39" t="s">
        <v>203</v>
      </c>
      <c r="C139" s="176">
        <f>C140+C141+96.6</f>
        <v>4667.1000000000004</v>
      </c>
      <c r="D139" s="41">
        <f>D140+D141+2004.3</f>
        <v>6684.4</v>
      </c>
      <c r="E139" s="41">
        <f>E140+E141+28</f>
        <v>1176.8</v>
      </c>
      <c r="F139" s="183">
        <v>1071.9000000000001</v>
      </c>
      <c r="G139" s="41">
        <f>G140+G141+24.1</f>
        <v>1172.9000000000001</v>
      </c>
      <c r="H139" s="107">
        <f t="shared" si="78"/>
        <v>8.9999999999999993E-3</v>
      </c>
      <c r="I139" s="150">
        <f t="shared" si="79"/>
        <v>0.997</v>
      </c>
      <c r="J139" s="108">
        <f t="shared" si="75"/>
        <v>-5511.5</v>
      </c>
      <c r="K139" s="107">
        <f t="shared" si="76"/>
        <v>0.17499999999999999</v>
      </c>
      <c r="L139" s="106">
        <f t="shared" si="77"/>
        <v>101</v>
      </c>
    </row>
    <row r="140" spans="1:12" ht="54">
      <c r="A140" s="18"/>
      <c r="B140" s="10" t="s">
        <v>113</v>
      </c>
      <c r="C140" s="126">
        <v>4047.1</v>
      </c>
      <c r="D140" s="8">
        <v>4143.7</v>
      </c>
      <c r="E140" s="8">
        <v>1107.5999999999999</v>
      </c>
      <c r="F140" s="182">
        <v>804.2</v>
      </c>
      <c r="G140" s="8">
        <v>1107.5999999999999</v>
      </c>
      <c r="H140" s="107">
        <f t="shared" si="78"/>
        <v>8.9999999999999993E-3</v>
      </c>
      <c r="I140" s="150">
        <f t="shared" si="79"/>
        <v>1</v>
      </c>
      <c r="J140" s="108">
        <f t="shared" si="75"/>
        <v>-3036.1</v>
      </c>
      <c r="K140" s="107">
        <f t="shared" si="76"/>
        <v>0.26700000000000002</v>
      </c>
      <c r="L140" s="106">
        <f t="shared" si="77"/>
        <v>303.39999999999998</v>
      </c>
    </row>
    <row r="141" spans="1:12" ht="27">
      <c r="A141" s="18"/>
      <c r="B141" s="10" t="s">
        <v>114</v>
      </c>
      <c r="C141" s="126">
        <v>523.4</v>
      </c>
      <c r="D141" s="8">
        <v>536.4</v>
      </c>
      <c r="E141" s="8">
        <v>41.2</v>
      </c>
      <c r="F141" s="182">
        <v>267.10000000000002</v>
      </c>
      <c r="G141" s="8">
        <v>41.2</v>
      </c>
      <c r="H141" s="107">
        <f t="shared" si="78"/>
        <v>0</v>
      </c>
      <c r="I141" s="150">
        <f t="shared" si="79"/>
        <v>1</v>
      </c>
      <c r="J141" s="108">
        <f t="shared" si="75"/>
        <v>-495.2</v>
      </c>
      <c r="K141" s="107">
        <f t="shared" si="76"/>
        <v>7.6999999999999999E-2</v>
      </c>
      <c r="L141" s="106">
        <f t="shared" si="77"/>
        <v>-225.9</v>
      </c>
    </row>
    <row r="142" spans="1:12" s="49" customFormat="1" ht="27">
      <c r="A142" s="17" t="s">
        <v>204</v>
      </c>
      <c r="B142" s="39" t="s">
        <v>205</v>
      </c>
      <c r="C142" s="176">
        <v>2004.3</v>
      </c>
      <c r="D142" s="41">
        <v>0</v>
      </c>
      <c r="E142" s="41">
        <v>0</v>
      </c>
      <c r="F142" s="183">
        <v>1071.9000000000001</v>
      </c>
      <c r="G142" s="41">
        <v>0</v>
      </c>
      <c r="H142" s="107">
        <f t="shared" ref="H142" si="81">G142/$G$151</f>
        <v>0</v>
      </c>
      <c r="I142" s="150" t="str">
        <f t="shared" ref="I142" si="82">IF(E142=0,"0,0%",G142/E142)</f>
        <v>0,0%</v>
      </c>
      <c r="J142" s="108">
        <f t="shared" ref="J142" si="83">G142-D142</f>
        <v>0</v>
      </c>
      <c r="K142" s="107">
        <v>0</v>
      </c>
      <c r="L142" s="106">
        <f t="shared" ref="L142" si="84">G142-F142</f>
        <v>-1071.9000000000001</v>
      </c>
    </row>
    <row r="143" spans="1:12">
      <c r="A143" s="132"/>
      <c r="B143" s="133" t="s">
        <v>159</v>
      </c>
      <c r="C143" s="133"/>
      <c r="D143" s="134"/>
      <c r="E143" s="134"/>
      <c r="F143" s="134"/>
      <c r="G143" s="134"/>
      <c r="H143" s="107"/>
      <c r="I143" s="107"/>
      <c r="J143" s="108"/>
      <c r="K143" s="107"/>
      <c r="L143" s="106"/>
    </row>
    <row r="144" spans="1:12" ht="27">
      <c r="A144" s="132"/>
      <c r="B144" s="125" t="s">
        <v>115</v>
      </c>
      <c r="C144" s="126">
        <v>3452.8</v>
      </c>
      <c r="D144" s="126">
        <v>3452.8</v>
      </c>
      <c r="E144" s="126">
        <v>845.3</v>
      </c>
      <c r="F144" s="126">
        <v>724.7</v>
      </c>
      <c r="G144" s="126">
        <v>845.3</v>
      </c>
      <c r="H144" s="107">
        <f t="shared" ref="H144:H151" si="85">G144/$G$151</f>
        <v>7.0000000000000001E-3</v>
      </c>
      <c r="I144" s="150">
        <f t="shared" ref="I144:I151" si="86">IF(E144=0,"0,0%",G144/E144)</f>
        <v>1</v>
      </c>
      <c r="J144" s="108">
        <f>G144-D144</f>
        <v>-2607.5</v>
      </c>
      <c r="K144" s="107">
        <f>G144/D144</f>
        <v>0.245</v>
      </c>
      <c r="L144" s="106">
        <f>G144-F144</f>
        <v>120.6</v>
      </c>
    </row>
    <row r="145" spans="1:12">
      <c r="A145" s="124"/>
      <c r="B145" s="125" t="s">
        <v>119</v>
      </c>
      <c r="C145" s="126">
        <v>446.4</v>
      </c>
      <c r="D145" s="126">
        <v>446.4</v>
      </c>
      <c r="E145" s="126">
        <v>210.7</v>
      </c>
      <c r="F145" s="126">
        <v>69.5</v>
      </c>
      <c r="G145" s="126">
        <v>210.7</v>
      </c>
      <c r="H145" s="107">
        <f t="shared" si="85"/>
        <v>2E-3</v>
      </c>
      <c r="I145" s="150">
        <f t="shared" si="86"/>
        <v>1</v>
      </c>
      <c r="J145" s="108">
        <f>G145-D145</f>
        <v>-235.7</v>
      </c>
      <c r="K145" s="107">
        <f>G145/D145</f>
        <v>0.47199999999999998</v>
      </c>
      <c r="L145" s="106">
        <f>G145-F145</f>
        <v>141.19999999999999</v>
      </c>
    </row>
    <row r="146" spans="1:12">
      <c r="A146" s="124"/>
      <c r="B146" s="142" t="s">
        <v>196</v>
      </c>
      <c r="C146" s="127">
        <v>2527.6999999999998</v>
      </c>
      <c r="D146" s="127">
        <v>2527.6999999999998</v>
      </c>
      <c r="E146" s="127">
        <v>56.3</v>
      </c>
      <c r="F146" s="127">
        <v>267.7</v>
      </c>
      <c r="G146" s="127">
        <v>52.3</v>
      </c>
      <c r="H146" s="107">
        <f t="shared" si="85"/>
        <v>0</v>
      </c>
      <c r="I146" s="150">
        <f t="shared" si="86"/>
        <v>0.92900000000000005</v>
      </c>
      <c r="J146" s="108">
        <f>G146-D146</f>
        <v>-2475.4</v>
      </c>
      <c r="K146" s="107">
        <f>G146/D146</f>
        <v>2.1000000000000001E-2</v>
      </c>
      <c r="L146" s="106">
        <f>G146-F146</f>
        <v>-215.4</v>
      </c>
    </row>
    <row r="147" spans="1:12" s="28" customFormat="1" ht="27">
      <c r="A147" s="104">
        <v>1300</v>
      </c>
      <c r="B147" s="101" t="s">
        <v>123</v>
      </c>
      <c r="C147" s="100">
        <f>C148</f>
        <v>5207.7</v>
      </c>
      <c r="D147" s="100">
        <f>D148</f>
        <v>6599.7</v>
      </c>
      <c r="E147" s="100">
        <f>E148</f>
        <v>1511.8</v>
      </c>
      <c r="F147" s="100">
        <f>F148</f>
        <v>1010.5</v>
      </c>
      <c r="G147" s="100">
        <f>G148</f>
        <v>1511.8</v>
      </c>
      <c r="H147" s="98">
        <f t="shared" si="85"/>
        <v>1.2E-2</v>
      </c>
      <c r="I147" s="150">
        <f t="shared" si="86"/>
        <v>1</v>
      </c>
      <c r="J147" s="99">
        <f t="shared" si="75"/>
        <v>-5087.8999999999996</v>
      </c>
      <c r="K147" s="98">
        <f t="shared" si="76"/>
        <v>0.22900000000000001</v>
      </c>
      <c r="L147" s="100">
        <f t="shared" si="77"/>
        <v>501.3</v>
      </c>
    </row>
    <row r="148" spans="1:12" s="49" customFormat="1" ht="27">
      <c r="A148" s="17" t="s">
        <v>83</v>
      </c>
      <c r="B148" s="39" t="s">
        <v>124</v>
      </c>
      <c r="C148" s="176">
        <v>5207.7</v>
      </c>
      <c r="D148" s="41">
        <v>6599.7</v>
      </c>
      <c r="E148" s="41">
        <v>1511.8</v>
      </c>
      <c r="F148" s="183">
        <v>1010.5</v>
      </c>
      <c r="G148" s="41">
        <v>1511.8</v>
      </c>
      <c r="H148" s="107">
        <f t="shared" si="85"/>
        <v>1.2E-2</v>
      </c>
      <c r="I148" s="150">
        <f t="shared" si="86"/>
        <v>1</v>
      </c>
      <c r="J148" s="108">
        <f t="shared" si="75"/>
        <v>-5087.8999999999996</v>
      </c>
      <c r="K148" s="107">
        <f t="shared" si="76"/>
        <v>0.22900000000000001</v>
      </c>
      <c r="L148" s="106">
        <f t="shared" si="77"/>
        <v>501.3</v>
      </c>
    </row>
    <row r="149" spans="1:12" s="28" customFormat="1" ht="40.5">
      <c r="A149" s="104">
        <v>1400</v>
      </c>
      <c r="B149" s="101" t="s">
        <v>207</v>
      </c>
      <c r="C149" s="100">
        <f>C150</f>
        <v>15771.5</v>
      </c>
      <c r="D149" s="100">
        <f>D150</f>
        <v>15771.5</v>
      </c>
      <c r="E149" s="100">
        <f>E150</f>
        <v>4500</v>
      </c>
      <c r="F149" s="100">
        <f>F150</f>
        <v>0</v>
      </c>
      <c r="G149" s="100">
        <f>G150</f>
        <v>4500</v>
      </c>
      <c r="H149" s="98">
        <f t="shared" si="85"/>
        <v>3.5000000000000003E-2</v>
      </c>
      <c r="I149" s="150">
        <f t="shared" ref="I149:I150" si="87">IF(E149=0,"0,0%",G149/E149)</f>
        <v>1</v>
      </c>
      <c r="J149" s="99">
        <f t="shared" ref="J149:J150" si="88">G149-D149</f>
        <v>-11271.5</v>
      </c>
      <c r="K149" s="98">
        <f t="shared" ref="K149:K150" si="89">G149/D149</f>
        <v>0.28499999999999998</v>
      </c>
      <c r="L149" s="100">
        <f t="shared" ref="L149:L150" si="90">G149-F149</f>
        <v>4500</v>
      </c>
    </row>
    <row r="150" spans="1:12" s="49" customFormat="1" ht="27">
      <c r="A150" s="17" t="s">
        <v>206</v>
      </c>
      <c r="B150" s="39" t="s">
        <v>208</v>
      </c>
      <c r="C150" s="176">
        <v>15771.5</v>
      </c>
      <c r="D150" s="41">
        <v>15771.5</v>
      </c>
      <c r="E150" s="41">
        <v>4500</v>
      </c>
      <c r="F150" s="183">
        <v>0</v>
      </c>
      <c r="G150" s="41">
        <v>4500</v>
      </c>
      <c r="H150" s="107">
        <f t="shared" si="85"/>
        <v>3.5000000000000003E-2</v>
      </c>
      <c r="I150" s="150">
        <f t="shared" si="87"/>
        <v>1</v>
      </c>
      <c r="J150" s="108">
        <f t="shared" si="88"/>
        <v>-11271.5</v>
      </c>
      <c r="K150" s="107">
        <f t="shared" si="89"/>
        <v>0.28499999999999998</v>
      </c>
      <c r="L150" s="106">
        <f t="shared" si="90"/>
        <v>4500</v>
      </c>
    </row>
    <row r="151" spans="1:12" s="28" customFormat="1" ht="16.5">
      <c r="A151" s="95"/>
      <c r="B151" s="105" t="s">
        <v>61</v>
      </c>
      <c r="C151" s="100">
        <f>C50+C69+C76+C95+C117+C125+C135+C138+C147+C149</f>
        <v>599541.4</v>
      </c>
      <c r="D151" s="100">
        <f t="shared" ref="D151:F151" si="91">D50+D69+D76+D95+D117+D125+D135+D138+D147+D149</f>
        <v>624327.9</v>
      </c>
      <c r="E151" s="100">
        <f t="shared" si="91"/>
        <v>132542.1</v>
      </c>
      <c r="F151" s="100">
        <f t="shared" si="91"/>
        <v>111543.8</v>
      </c>
      <c r="G151" s="100">
        <f>G50+G69+G76+G95+G117+G125+G135+G138+G147+G149</f>
        <v>128365</v>
      </c>
      <c r="H151" s="98">
        <f t="shared" si="85"/>
        <v>1</v>
      </c>
      <c r="I151" s="150">
        <f t="shared" si="86"/>
        <v>0.96799999999999997</v>
      </c>
      <c r="J151" s="100">
        <f>J50+J69+J76+J95+J117+J125+J135+J138+J147</f>
        <v>-484691.4</v>
      </c>
      <c r="K151" s="98">
        <f>G151/D151</f>
        <v>0.20599999999999999</v>
      </c>
      <c r="L151" s="100">
        <f>G151-F151</f>
        <v>16821.2</v>
      </c>
    </row>
    <row r="152" spans="1:12" s="1" customFormat="1" ht="16.5">
      <c r="A152" s="36"/>
      <c r="B152" s="84"/>
      <c r="C152" s="180"/>
      <c r="D152" s="94"/>
      <c r="E152" s="94"/>
      <c r="F152" s="200"/>
      <c r="G152" s="94"/>
      <c r="H152" s="118"/>
      <c r="I152" s="149"/>
      <c r="J152" s="119"/>
      <c r="K152" s="118"/>
      <c r="L152" s="120"/>
    </row>
    <row r="153" spans="1:12">
      <c r="A153" s="19"/>
      <c r="B153" s="7" t="s">
        <v>75</v>
      </c>
      <c r="C153" s="217">
        <f>C47-C151</f>
        <v>0</v>
      </c>
      <c r="D153" s="219">
        <f>D47-D151</f>
        <v>-7628.9</v>
      </c>
      <c r="E153" s="219">
        <f>E47-E151</f>
        <v>-7628.9</v>
      </c>
      <c r="F153" s="219">
        <f>F47-F151</f>
        <v>-1863.2</v>
      </c>
      <c r="G153" s="219">
        <f>G47-G151</f>
        <v>-5708.2</v>
      </c>
      <c r="H153" s="209">
        <f>G153/G153</f>
        <v>1</v>
      </c>
      <c r="I153" s="149"/>
      <c r="J153" s="211">
        <f t="shared" ref="J153:J159" si="92">G153-D153</f>
        <v>1920.7</v>
      </c>
      <c r="K153" s="209">
        <f>G153/D153</f>
        <v>0.748</v>
      </c>
      <c r="L153" s="214">
        <f>G153-F153</f>
        <v>-3845</v>
      </c>
    </row>
    <row r="154" spans="1:12">
      <c r="A154" s="19"/>
      <c r="B154" s="7" t="s">
        <v>76</v>
      </c>
      <c r="C154" s="218"/>
      <c r="D154" s="220"/>
      <c r="E154" s="220"/>
      <c r="F154" s="220"/>
      <c r="G154" s="220"/>
      <c r="H154" s="210"/>
      <c r="I154" s="150" t="str">
        <f>IF(E154=0,"0,0%",G154/E154)</f>
        <v>0,0%</v>
      </c>
      <c r="J154" s="212"/>
      <c r="K154" s="210"/>
      <c r="L154" s="215"/>
    </row>
    <row r="155" spans="1:12" ht="27">
      <c r="A155" s="19"/>
      <c r="B155" s="7" t="s">
        <v>77</v>
      </c>
      <c r="C155" s="178">
        <f>C156+C159</f>
        <v>0</v>
      </c>
      <c r="D155" s="6">
        <f>D156+D159</f>
        <v>7628.9</v>
      </c>
      <c r="E155" s="6">
        <f>E156+E159</f>
        <v>7628.9</v>
      </c>
      <c r="F155" s="153">
        <f>F156+F159</f>
        <v>1863.2</v>
      </c>
      <c r="G155" s="153">
        <f>G156+G159</f>
        <v>5708.2</v>
      </c>
      <c r="H155" s="98">
        <f>G155/G155</f>
        <v>1</v>
      </c>
      <c r="I155" s="150">
        <f>IF(E155=0,"0,0%",G155/E155)</f>
        <v>0.748</v>
      </c>
      <c r="J155" s="99">
        <f t="shared" si="92"/>
        <v>-1920.7</v>
      </c>
      <c r="K155" s="98">
        <f t="shared" ref="K155:K161" si="93">G155/D155</f>
        <v>0.748</v>
      </c>
      <c r="L155" s="100">
        <f>G155-F155</f>
        <v>3845</v>
      </c>
    </row>
    <row r="156" spans="1:12" ht="27">
      <c r="A156" s="50" t="s">
        <v>93</v>
      </c>
      <c r="B156" s="85" t="s">
        <v>94</v>
      </c>
      <c r="C156" s="181">
        <f>C157+C158</f>
        <v>0</v>
      </c>
      <c r="D156" s="181">
        <f>D157+D158</f>
        <v>0</v>
      </c>
      <c r="E156" s="42">
        <f>E157-E158</f>
        <v>0</v>
      </c>
      <c r="F156" s="154">
        <f>F157-F158</f>
        <v>0</v>
      </c>
      <c r="G156" s="154">
        <f>G157-G158</f>
        <v>0</v>
      </c>
      <c r="H156" s="98">
        <v>0</v>
      </c>
      <c r="I156" s="98">
        <v>0</v>
      </c>
      <c r="J156" s="99">
        <f t="shared" si="92"/>
        <v>0</v>
      </c>
      <c r="K156" s="98">
        <v>0</v>
      </c>
      <c r="L156" s="121">
        <f>G156-F156</f>
        <v>0</v>
      </c>
    </row>
    <row r="157" spans="1:12" s="49" customFormat="1" ht="40.5">
      <c r="A157" s="18" t="s">
        <v>89</v>
      </c>
      <c r="B157" s="86" t="s">
        <v>90</v>
      </c>
      <c r="C157" s="176">
        <v>60000</v>
      </c>
      <c r="D157" s="41">
        <v>60000</v>
      </c>
      <c r="E157" s="41">
        <v>0</v>
      </c>
      <c r="F157" s="155">
        <v>0</v>
      </c>
      <c r="G157" s="155">
        <v>0</v>
      </c>
      <c r="H157" s="98">
        <v>0</v>
      </c>
      <c r="I157" s="98">
        <v>0</v>
      </c>
      <c r="J157" s="116">
        <f t="shared" si="92"/>
        <v>-60000</v>
      </c>
      <c r="K157" s="115">
        <f t="shared" si="93"/>
        <v>0</v>
      </c>
      <c r="L157" s="121">
        <f>G157-F157</f>
        <v>0</v>
      </c>
    </row>
    <row r="158" spans="1:12" s="49" customFormat="1" ht="40.5">
      <c r="A158" s="18" t="s">
        <v>91</v>
      </c>
      <c r="B158" s="86" t="s">
        <v>92</v>
      </c>
      <c r="C158" s="176">
        <v>-60000</v>
      </c>
      <c r="D158" s="41">
        <v>-60000</v>
      </c>
      <c r="E158" s="41">
        <v>0</v>
      </c>
      <c r="F158" s="155">
        <v>0</v>
      </c>
      <c r="G158" s="155">
        <v>0</v>
      </c>
      <c r="H158" s="98">
        <v>0</v>
      </c>
      <c r="I158" s="98">
        <v>0</v>
      </c>
      <c r="J158" s="116">
        <f t="shared" si="92"/>
        <v>60000</v>
      </c>
      <c r="K158" s="115">
        <f t="shared" si="93"/>
        <v>0</v>
      </c>
      <c r="L158" s="121">
        <f>G158-F158</f>
        <v>0</v>
      </c>
    </row>
    <row r="159" spans="1:12" ht="27">
      <c r="A159" s="50" t="s">
        <v>95</v>
      </c>
      <c r="B159" s="85" t="s">
        <v>96</v>
      </c>
      <c r="C159" s="181">
        <f>C160+C161</f>
        <v>0</v>
      </c>
      <c r="D159" s="42">
        <f>D160+D161</f>
        <v>7628.9</v>
      </c>
      <c r="E159" s="42">
        <f>E160+E161</f>
        <v>7628.9</v>
      </c>
      <c r="F159" s="154">
        <f>F160+F161</f>
        <v>1863.2</v>
      </c>
      <c r="G159" s="154">
        <f>G160+G161</f>
        <v>5708.2</v>
      </c>
      <c r="H159" s="98">
        <f>G155/G159</f>
        <v>1</v>
      </c>
      <c r="I159" s="98">
        <v>0</v>
      </c>
      <c r="J159" s="99">
        <f t="shared" si="92"/>
        <v>-1920.7</v>
      </c>
      <c r="K159" s="98">
        <f t="shared" si="93"/>
        <v>0.748</v>
      </c>
      <c r="L159" s="117">
        <f>G159-F159</f>
        <v>3845</v>
      </c>
    </row>
    <row r="160" spans="1:12" ht="27">
      <c r="A160" s="17" t="s">
        <v>97</v>
      </c>
      <c r="B160" s="9" t="s">
        <v>57</v>
      </c>
      <c r="C160" s="176">
        <v>0</v>
      </c>
      <c r="D160" s="41">
        <v>0</v>
      </c>
      <c r="E160" s="41">
        <v>0</v>
      </c>
      <c r="F160" s="155">
        <v>-109833.3</v>
      </c>
      <c r="G160" s="155">
        <v>-122742.6</v>
      </c>
      <c r="H160" s="98">
        <f t="shared" ref="H160:H161" si="94">G156/G160</f>
        <v>0</v>
      </c>
      <c r="I160" s="98">
        <v>0</v>
      </c>
      <c r="J160" s="108">
        <f>G160-D160</f>
        <v>-122742.6</v>
      </c>
      <c r="K160" s="107">
        <v>0</v>
      </c>
      <c r="L160" s="106">
        <f>-(L47)</f>
        <v>-12976.2</v>
      </c>
    </row>
    <row r="161" spans="1:12" ht="27">
      <c r="A161" s="17" t="s">
        <v>98</v>
      </c>
      <c r="B161" s="9" t="s">
        <v>58</v>
      </c>
      <c r="C161" s="176">
        <v>0</v>
      </c>
      <c r="D161" s="41">
        <v>7628.9</v>
      </c>
      <c r="E161" s="41">
        <v>7628.9</v>
      </c>
      <c r="F161" s="155">
        <v>111696.5</v>
      </c>
      <c r="G161" s="155">
        <v>128450.8</v>
      </c>
      <c r="H161" s="98">
        <f t="shared" si="94"/>
        <v>0</v>
      </c>
      <c r="I161" s="98">
        <v>0</v>
      </c>
      <c r="J161" s="108">
        <f>G161-D161</f>
        <v>120821.9</v>
      </c>
      <c r="K161" s="107">
        <f t="shared" si="93"/>
        <v>16.837</v>
      </c>
      <c r="L161" s="106">
        <f>L151</f>
        <v>16821.2</v>
      </c>
    </row>
    <row r="162" spans="1:12">
      <c r="B162" s="128"/>
      <c r="C162" s="34"/>
      <c r="D162" s="35"/>
      <c r="E162" s="35"/>
      <c r="F162" s="35"/>
      <c r="G162" s="35"/>
      <c r="H162" s="37"/>
      <c r="I162" s="37"/>
      <c r="J162" s="38"/>
      <c r="K162" s="37"/>
      <c r="L162" s="35"/>
    </row>
    <row r="163" spans="1:12">
      <c r="A163" s="76"/>
      <c r="D163" s="35"/>
      <c r="H163" s="74" t="s">
        <v>9</v>
      </c>
    </row>
    <row r="164" spans="1:12">
      <c r="B164" s="87"/>
      <c r="C164" s="88"/>
      <c r="D164" s="89"/>
      <c r="E164" s="90"/>
      <c r="F164" s="45"/>
      <c r="G164" s="45"/>
      <c r="H164" s="91"/>
      <c r="I164" s="91"/>
      <c r="J164" s="91"/>
      <c r="K164" s="74" t="s">
        <v>9</v>
      </c>
      <c r="L164" s="2"/>
    </row>
    <row r="165" spans="1:12">
      <c r="B165" s="92"/>
      <c r="C165" s="92"/>
      <c r="D165" s="89"/>
      <c r="E165" s="91"/>
      <c r="F165" s="91"/>
      <c r="G165" s="91"/>
      <c r="H165" s="91"/>
      <c r="I165" s="91"/>
      <c r="J165" s="93"/>
    </row>
    <row r="168" spans="1:12">
      <c r="E168" s="74" t="s">
        <v>9</v>
      </c>
    </row>
  </sheetData>
  <customSheetViews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1">
    <mergeCell ref="H153:H154"/>
    <mergeCell ref="J153:J154"/>
    <mergeCell ref="K153:K154"/>
    <mergeCell ref="H1:L1"/>
    <mergeCell ref="L153:L154"/>
    <mergeCell ref="A2:K2"/>
    <mergeCell ref="C153:C154"/>
    <mergeCell ref="D153:D154"/>
    <mergeCell ref="E153:E154"/>
    <mergeCell ref="G153:G154"/>
    <mergeCell ref="F153:F154"/>
  </mergeCells>
  <phoneticPr fontId="0" type="noConversion"/>
  <pageMargins left="0.27559055118110237" right="0.19685039370078741" top="0.31496062992125984" bottom="0.39370078740157483" header="0.15748031496062992" footer="0.19685039370078741"/>
  <pageSetup paperSize="9" scale="90" fitToHeight="20" orientation="landscape" blackAndWhite="1" horizontalDpi="4294967292" verticalDpi="4294967292" r:id="rId29"/>
  <headerFooter alignWithMargins="0">
    <oddFooter>&amp;R&amp;"Arial Narrow,обычный"&amp;8Лист &amp;P из &amp;N</oddFooter>
  </headerFooter>
  <rowBreaks count="64" manualBreakCount="64">
    <brk id="19" max="12" man="1"/>
    <brk id="22" max="12" man="1"/>
    <brk id="28" max="12" man="1"/>
    <brk id="35" max="16383" man="1"/>
    <brk id="44" max="12" man="1"/>
    <brk id="45" max="12" man="1"/>
    <brk id="46" max="12" man="1"/>
    <brk id="47" max="12" man="1"/>
    <brk id="48" max="16383" man="1"/>
    <brk id="49" max="12" man="1"/>
    <brk id="50" max="12" man="1"/>
    <brk id="52" max="12" man="1"/>
    <brk id="55" max="12" man="1"/>
    <brk id="56" max="12" man="1"/>
    <brk id="60" max="12" man="1"/>
    <brk id="77" max="12" man="1"/>
    <brk id="78" max="12" man="1"/>
    <brk id="79" max="12" man="1"/>
    <brk id="82" max="12" man="1"/>
    <brk id="92" max="16383" man="1"/>
    <brk id="106" max="12" man="1"/>
    <brk id="107" max="16383" man="1"/>
    <brk id="110" max="12" man="1"/>
    <brk id="117" max="12" man="1"/>
    <brk id="118" max="12" man="1"/>
    <brk id="174" max="12" man="1"/>
    <brk id="182" max="12" man="1"/>
    <brk id="183" max="12" man="1"/>
    <brk id="184" max="16383" man="1"/>
    <brk id="186" max="12" man="1"/>
    <brk id="187" max="12" man="1"/>
    <brk id="190" max="16383" man="1"/>
    <brk id="191" max="16383" man="1"/>
    <brk id="194" max="13" man="1"/>
    <brk id="195" max="16383" man="1"/>
    <brk id="196" max="13" man="1"/>
    <brk id="198" max="13" man="1"/>
    <brk id="201" max="13" man="1"/>
    <brk id="202" max="13" man="1"/>
    <brk id="204" max="13" man="1"/>
    <brk id="205" max="13" man="1"/>
    <brk id="212" max="13" man="1"/>
    <brk id="218" max="13" man="1"/>
    <brk id="219" max="13" man="1"/>
    <brk id="220" max="13" man="1"/>
    <brk id="223" max="13" man="1"/>
    <brk id="224" max="16383" man="1"/>
    <brk id="227" max="13" man="1"/>
    <brk id="229" max="16383" man="1"/>
    <brk id="231" max="16383" man="1"/>
    <brk id="232" max="13" man="1"/>
    <brk id="233" max="13" man="1"/>
    <brk id="234" max="13" man="1"/>
    <brk id="240" max="13" man="1"/>
    <brk id="242" max="13" man="1"/>
    <brk id="247" max="13" man="1"/>
    <brk id="249" max="13" man="1"/>
    <brk id="252" max="13" man="1"/>
    <brk id="254" max="13" man="1"/>
    <brk id="262" max="13" man="1"/>
    <brk id="263" max="16383" man="1"/>
    <brk id="271" max="13" man="1"/>
    <brk id="275" max="13" man="1"/>
    <brk id="28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Прокопенко</cp:lastModifiedBy>
  <cp:lastPrinted>2014-04-10T11:41:19Z</cp:lastPrinted>
  <dcterms:created xsi:type="dcterms:W3CDTF">1998-04-06T06:06:47Z</dcterms:created>
  <dcterms:modified xsi:type="dcterms:W3CDTF">2014-04-28T10:35:59Z</dcterms:modified>
</cp:coreProperties>
</file>