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120" activeTab="0"/>
  </bookViews>
  <sheets>
    <sheet name="Анализ бюджета" sheetId="1" r:id="rId1"/>
  </sheets>
  <definedNames>
    <definedName name="Z_08EF82CC_B73D_4976_854E_2FADDE1EDAB4_.wvu.PrintArea" localSheetId="0" hidden="1">'Анализ бюджета'!$A$1:$L$159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бюджета'!$A$1:$L$159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бюджета'!$A$1:$K$159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бюджета'!$A$1:$K$159</definedName>
    <definedName name="Z_4F278C51_CC0C_4908_B19B_FD853FE30C23_.wvu.PrintArea" localSheetId="0" hidden="1">'Анализ бюджета'!$A$1:$K$159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бюджета'!$16:$16,'Анализ бюджета'!$18:$19,'Анализ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бюджета'!$A$1:$L$159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бюджета'!$37:$38,'Анализ бюджета'!$45:$46,'Анализ бюджета'!$122:$122</definedName>
    <definedName name="Z_735893B7_5E6F_4E87_8F79_7422E435EC59_.wvu.PrintArea" localSheetId="0" hidden="1">'Анализ бюджета'!$A$1:$K$159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бюджета'!$30:$35</definedName>
    <definedName name="Z_8F58F720_5478_11D7_8E43_00002120D636_.wvu.PrintArea" localSheetId="0" hidden="1">'Анализ бюджета'!$A$2:$K$48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бюджета'!$A$1:$L$159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бюджета'!$37:$38,'Анализ бюджета'!$45:$46,'Анализ бюджета'!#REF!,'Анализ бюджета'!$122:$122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бюджета'!$A$1:$K$159</definedName>
    <definedName name="Z_97B5DCE1_CCA4_11D7_B6CC_0007E980B7D4_.wvu.Rows" localSheetId="0" hidden="1">'Анализ бюджета'!#REF!,'Анализ бюджета'!$30:$35</definedName>
    <definedName name="Z_A91D99C2_8122_48C0_91AB_172E51C62B1D_.wvu.PrintArea" localSheetId="0" hidden="1">'Анализ бюджета'!$A$1:$K$159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бюджета'!$A$1:$L$159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бюджета'!$122:$122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бюджета'!$A$1:$K$159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бюджета'!$A$1:$L$159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бюджета'!$37:$38,'Анализ бюджета'!$45:$46,'Анализ бюджета'!$122:$122</definedName>
    <definedName name="Z_E64E5F61_FD5E_11DA_AA5B_0004761D6C8E_.wvu.PrintArea" localSheetId="0" hidden="1">'Анализ бюджета'!$A$1:$K$159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бюджета'!$G$47</definedName>
    <definedName name="Всего_расходов_2002">'Анализ бюджета'!#REF!</definedName>
    <definedName name="Всего_расходов_2003">'Анализ бюджета'!$G$111</definedName>
    <definedName name="_xlnm.Print_Titles" localSheetId="0">'Анализ бюджета'!$4:$5</definedName>
    <definedName name="_xlnm.Print_Area" localSheetId="0">'Анализ бюджета'!$A$1:$L$159</definedName>
  </definedNames>
  <calcPr fullCalcOnLoad="1" fullPrecision="0" refMode="R1C1"/>
</workbook>
</file>

<file path=xl/sharedStrings.xml><?xml version="1.0" encoding="utf-8"?>
<sst xmlns="http://schemas.openxmlformats.org/spreadsheetml/2006/main" count="249" uniqueCount="216">
  <si>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</si>
  <si>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</si>
  <si>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</si>
  <si>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</si>
  <si>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</si>
  <si>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</si>
  <si>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</si>
  <si>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</si>
  <si>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</si>
  <si>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</si>
  <si>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</si>
  <si>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</si>
  <si>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</si>
  <si>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</si>
  <si>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</si>
  <si>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</si>
  <si>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</si>
  <si>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</si>
  <si>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</si>
  <si>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</si>
  <si>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</si>
  <si>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</si>
  <si>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</si>
  <si>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</si>
  <si>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</si>
  <si>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</si>
  <si>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</si>
  <si>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</si>
  <si>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</si>
  <si>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</si>
  <si>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</si>
  <si>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</si>
  <si>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</si>
  <si>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</si>
  <si>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</si>
  <si>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</si>
  <si>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</si>
  <si>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</si>
  <si>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</si>
  <si>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</si>
  <si>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</si>
  <si>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</si>
  <si>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</si>
  <si>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</si>
  <si>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</si>
  <si>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</si>
  <si>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</si>
  <si>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</si>
  <si>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</si>
  <si>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</si>
  <si>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</si>
  <si>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</si>
  <si>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</si>
  <si>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</si>
  <si>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</si>
  <si>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</si>
  <si>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</si>
  <si>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</si>
  <si>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104 1 11 05035 10 0000 120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</si>
  <si>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</si>
  <si>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</si>
  <si>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</si>
  <si>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</si>
  <si>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</si>
  <si>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</si>
  <si>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</si>
  <si>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</si>
  <si>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</si>
  <si>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</si>
  <si>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</si>
  <si>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</si>
  <si>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</si>
  <si>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</si>
  <si>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</si>
  <si>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</si>
  <si>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</si>
  <si>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</si>
  <si>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</si>
  <si>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</si>
  <si>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</si>
  <si>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104 1 17 01050 10 0000 180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</si>
  <si>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</si>
  <si>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</si>
  <si>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</si>
  <si>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</si>
  <si>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</si>
  <si>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</si>
  <si>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</si>
  <si>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</si>
  <si>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0804</t>
  </si>
  <si>
    <t>1101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</si>
  <si>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</si>
  <si>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</si>
  <si>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</si>
  <si>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</si>
  <si>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</si>
  <si>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</si>
  <si>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</si>
  <si>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</si>
  <si>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</si>
  <si>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</si>
  <si>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</si>
  <si>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</si>
  <si>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</si>
  <si>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</si>
  <si>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</si>
  <si>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</si>
  <si>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</si>
  <si>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</si>
  <si>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</si>
  <si>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</si>
  <si>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</si>
  <si>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</si>
  <si>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содержание автомобильных дорог общего пользования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</si>
  <si>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</si>
  <si>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</si>
  <si>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</si>
  <si>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</si>
  <si>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</si>
  <si>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</si>
  <si>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</si>
  <si>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</si>
  <si>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</si>
  <si>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</si>
  <si>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</si>
  <si>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>Другие вопросы в области культуры, кинематографии</t>
  </si>
  <si>
    <t xml:space="preserve">- коммунальные услуги </t>
  </si>
  <si>
    <t>1000</t>
  </si>
  <si>
    <t>Социальная политика</t>
  </si>
  <si>
    <t>1100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</si>
  <si>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</si>
  <si>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</si>
  <si>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</si>
  <si>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</si>
  <si>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</si>
  <si>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</si>
  <si>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</si>
  <si>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</si>
  <si>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</si>
  <si>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</si>
  <si>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</si>
  <si>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</si>
  <si>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</si>
  <si>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</si>
  <si>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</si>
  <si>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</si>
  <si>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</si>
  <si>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</si>
  <si>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134 1 11 05013 10 0000 120</t>
  </si>
  <si>
    <t>104 1 14 02053 10 0000 410</t>
  </si>
  <si>
    <t>134 1 14 06013 10 0000 430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</si>
  <si>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</si>
  <si>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</si>
  <si>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</si>
  <si>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</si>
  <si>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</si>
  <si>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</si>
  <si>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</si>
  <si>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</si>
  <si>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</si>
  <si>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</si>
  <si>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0300</t>
  </si>
  <si>
    <t>Из них по разделу 0400</t>
  </si>
  <si>
    <t>Из них по разделу 0500</t>
  </si>
  <si>
    <t>Из них по разделу 0700</t>
  </si>
  <si>
    <t>Из них по разделу 0800</t>
  </si>
  <si>
    <t>Из них по разделу 1100</t>
  </si>
  <si>
    <t>- органов местного самоуправления</t>
  </si>
  <si>
    <t>- работников муниципальных учреждений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</si>
  <si>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</si>
  <si>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</si>
  <si>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</si>
  <si>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t>000 1 16 00000 00 0000 000</t>
  </si>
  <si>
    <t>ШТРАФЫ, САНКЦИИ, ВОЗМЕЩЕНИЕ УЩЕРБА</t>
  </si>
  <si>
    <t>104 1 14 06025 10 0000 430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</si>
  <si>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</si>
  <si>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</si>
  <si>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</si>
  <si>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Уд. вес
в 2013г.</t>
  </si>
  <si>
    <t>104 1 11 05075 10 0000 120</t>
  </si>
  <si>
    <t>Доходы от сдачи в аренду имущества, составляющего казну поселений (за исключением земельных участков)</t>
  </si>
  <si>
    <t>104 1 11 07015 10 0000 120</t>
  </si>
  <si>
    <t>104 1 11 09045 10 0000 120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</si>
  <si>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</si>
  <si>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</si>
  <si>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</si>
  <si>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</si>
  <si>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161 1 16 51040 02 0000 140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</si>
  <si>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</si>
  <si>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0104</t>
  </si>
  <si>
    <t>0309</t>
  </si>
  <si>
    <t>0412</t>
  </si>
  <si>
    <t>Уточненный годовой план 
на 01.10.2013 г.</t>
  </si>
  <si>
    <t>План 9 месяцев 2013 г.</t>
  </si>
  <si>
    <t>Фактическое
исполнение
на 01.10.2012 г.</t>
  </si>
  <si>
    <t>Фактическое
исполнение
на 01.10.2013 г.</t>
  </si>
  <si>
    <t>Сравнение исполнения на 01.10.2012 и 2013 гг.      (гр.7-гр.6)</t>
  </si>
  <si>
    <t>Анализ исполнения  бюджета муниципального образования город Энгельс за 9 месяцев 2013 года</t>
  </si>
  <si>
    <t>Процент 
исполнения плана 
9 месяцев 2013 г.</t>
  </si>
  <si>
    <t xml:space="preserve">- межбюджетные трансферты ЭМР на осуществление переданных полномочий по решению вопросов местного значения поселений </t>
  </si>
  <si>
    <t>Другие вопросы в области жилищно-коммунального хозяйства, в т.ч.:</t>
  </si>
  <si>
    <t>Коммунальное хозяйство</t>
  </si>
  <si>
    <t>0502</t>
  </si>
  <si>
    <t>- межбюджетные трансферты на осуществление переданных полномочий по решению вопросов местного значения поселений по земельному контролю (1403 в 2012 г.)</t>
  </si>
  <si>
    <t>148 2 02 02051 10 0000 151</t>
  </si>
  <si>
    <t>Субсидии бюджетам поселений на реализацию федеральных целевых программ</t>
  </si>
  <si>
    <t xml:space="preserve">148 2 02 04999 10 0006 151 </t>
  </si>
  <si>
    <t>Иные межбюджетные трансферты бюджетам поселений области за счет резервного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</si>
  <si>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</si>
  <si>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 межбюджетные трансферты на осуществление переданных полномочий по решению вопросов местного значения поселений, в т.ч. в части архитектуры и градостроительства, тороговли и бытового обслуживания</t>
  </si>
  <si>
    <t>- межбюджетные трансферты ЭМР в части возмещения недополученных доходов в связи с применением регулируемых тарифов на пассажирские перевозки, осуществляемые горэлектротранспортом</t>
  </si>
  <si>
    <t>- межбюджетные трансферты на осуществление переданных полномочий по решению вопросов местного значения поселений в части содержания и ремонта автомобильных дорог  общего пользования</t>
  </si>
  <si>
    <t>- межбюджетные трансферты ЭМР на осуществление переданных полномочий по решению вопросов местного значения поселений, в т.ч. в части содержания и ремонта муниципального жилищного фонда и по переселению граждан из непригодного для проживания жилищного фонда</t>
  </si>
  <si>
    <t xml:space="preserve">- межбюджетные трансферты ЭМР на обеспечение деятельности аварийно-спасательного формирования - муниципального учреждения "Энгельс-Спас" </t>
  </si>
  <si>
    <t>- межбюджетные трансферты ЭМР на осуществление переданных полномочий по решению вопросов местного значения поселений, в части организации благоустройста территории МО (включая освещение улиц, озелененеие, организации ритуальных услуг и содержания мест захороненений, прочие мероприятия по благоустройству)C</t>
  </si>
  <si>
    <t xml:space="preserve"> - межбюджетные трансферты ЭМР на осуществление переданных полномочий по решению вопросов местного значения поселений, в том числе на реализуцию прочих мероприятий в сфере ЖКХ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</si>
</sst>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1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/>
    </xf>
    <xf numFmtId="167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167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justify" wrapText="1"/>
    </xf>
    <xf numFmtId="164" fontId="3" fillId="0" borderId="10" xfId="57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1" fillId="0" borderId="0" xfId="0" applyNumberFormat="1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vertical="center"/>
    </xf>
    <xf numFmtId="167" fontId="9" fillId="0" borderId="10" xfId="0" applyNumberFormat="1" applyFont="1" applyFill="1" applyBorder="1" applyAlignment="1" applyProtection="1">
      <alignment horizontal="right" vertical="center"/>
      <protection locked="0"/>
    </xf>
    <xf numFmtId="167" fontId="4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7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65" fontId="3" fillId="0" borderId="0" xfId="57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0" xfId="6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16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/>
    </xf>
    <xf numFmtId="167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right" vertical="center"/>
      <protection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167" fontId="2" fillId="0" borderId="12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5" fontId="2" fillId="33" borderId="10" xfId="57" applyNumberFormat="1" applyFont="1" applyFill="1" applyBorder="1" applyAlignment="1">
      <alignment horizontal="right" vertical="center"/>
    </xf>
    <xf numFmtId="168" fontId="2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/>
    </xf>
    <xf numFmtId="167" fontId="3" fillId="33" borderId="10" xfId="0" applyNumberFormat="1" applyFont="1" applyFill="1" applyBorder="1" applyAlignment="1">
      <alignment horizontal="right" vertical="center"/>
    </xf>
    <xf numFmtId="165" fontId="3" fillId="33" borderId="10" xfId="57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Continuous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Continuous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65" fontId="3" fillId="33" borderId="10" xfId="57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5" fontId="2" fillId="33" borderId="12" xfId="57" applyNumberFormat="1" applyFont="1" applyFill="1" applyBorder="1" applyAlignment="1">
      <alignment horizontal="right" vertical="center"/>
    </xf>
    <xf numFmtId="168" fontId="2" fillId="33" borderId="12" xfId="0" applyNumberFormat="1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167" fontId="8" fillId="34" borderId="10" xfId="0" applyNumberFormat="1" applyFont="1" applyFill="1" applyBorder="1" applyAlignment="1" applyProtection="1">
      <alignment horizontal="right" vertical="center"/>
      <protection/>
    </xf>
    <xf numFmtId="167" fontId="2" fillId="34" borderId="10" xfId="0" applyNumberFormat="1" applyFont="1" applyFill="1" applyBorder="1" applyAlignment="1" applyProtection="1">
      <alignment horizontal="right" vertical="center"/>
      <protection/>
    </xf>
    <xf numFmtId="167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justify" vertical="center"/>
    </xf>
    <xf numFmtId="167" fontId="3" fillId="7" borderId="10" xfId="0" applyNumberFormat="1" applyFont="1" applyFill="1" applyBorder="1" applyAlignment="1">
      <alignment horizontal="right" vertical="center"/>
    </xf>
    <xf numFmtId="167" fontId="3" fillId="7" borderId="10" xfId="0" applyNumberFormat="1" applyFont="1" applyFill="1" applyBorder="1" applyAlignment="1">
      <alignment horizontal="right" vertical="center" wrapText="1"/>
    </xf>
    <xf numFmtId="49" fontId="3" fillId="7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justify" vertical="center"/>
    </xf>
    <xf numFmtId="167" fontId="3" fillId="35" borderId="10" xfId="0" applyNumberFormat="1" applyFont="1" applyFill="1" applyBorder="1" applyAlignment="1">
      <alignment horizontal="right" vertical="center"/>
    </xf>
    <xf numFmtId="167" fontId="9" fillId="0" borderId="10" xfId="0" applyNumberFormat="1" applyFont="1" applyFill="1" applyBorder="1" applyAlignment="1" applyProtection="1">
      <alignment horizontal="right" vertical="center"/>
      <protection/>
    </xf>
    <xf numFmtId="167" fontId="9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67" fontId="3" fillId="35" borderId="10" xfId="0" applyNumberFormat="1" applyFont="1" applyFill="1" applyBorder="1" applyAlignment="1">
      <alignment horizontal="right" vertical="center" wrapText="1"/>
    </xf>
    <xf numFmtId="167" fontId="3" fillId="35" borderId="10" xfId="0" applyNumberFormat="1" applyFont="1" applyFill="1" applyBorder="1" applyAlignment="1">
      <alignment horizontal="right" vertical="center" wrapText="1"/>
    </xf>
    <xf numFmtId="167" fontId="3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65" fontId="3" fillId="36" borderId="10" xfId="57" applyNumberFormat="1" applyFont="1" applyFill="1" applyBorder="1" applyAlignment="1">
      <alignment horizontal="right" vertical="center"/>
    </xf>
    <xf numFmtId="167" fontId="3" fillId="37" borderId="10" xfId="0" applyNumberFormat="1" applyFont="1" applyFill="1" applyBorder="1" applyAlignment="1">
      <alignment horizontal="right" vertical="center"/>
    </xf>
    <xf numFmtId="165" fontId="2" fillId="36" borderId="10" xfId="57" applyNumberFormat="1" applyFont="1" applyFill="1" applyBorder="1" applyAlignment="1">
      <alignment horizontal="right" vertical="center"/>
    </xf>
    <xf numFmtId="165" fontId="2" fillId="33" borderId="12" xfId="57" applyNumberFormat="1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8" fontId="9" fillId="33" borderId="10" xfId="0" applyNumberFormat="1" applyFont="1" applyFill="1" applyBorder="1" applyAlignment="1" applyProtection="1">
      <alignment horizontal="right" vertical="center"/>
      <protection/>
    </xf>
    <xf numFmtId="168" fontId="8" fillId="33" borderId="10" xfId="0" applyNumberFormat="1" applyFont="1" applyFill="1" applyBorder="1" applyAlignment="1" applyProtection="1">
      <alignment horizontal="right" vertical="center"/>
      <protection/>
    </xf>
    <xf numFmtId="167" fontId="2" fillId="37" borderId="10" xfId="0" applyNumberFormat="1" applyFont="1" applyFill="1" applyBorder="1" applyAlignment="1">
      <alignment horizontal="right" vertical="center"/>
    </xf>
    <xf numFmtId="167" fontId="2" fillId="37" borderId="10" xfId="0" applyNumberFormat="1" applyFont="1" applyFill="1" applyBorder="1" applyAlignment="1">
      <alignment horizontal="right" vertical="center"/>
    </xf>
    <xf numFmtId="167" fontId="3" fillId="37" borderId="10" xfId="0" applyNumberFormat="1" applyFont="1" applyFill="1" applyBorder="1" applyAlignment="1">
      <alignment horizontal="right" vertical="center"/>
    </xf>
    <xf numFmtId="167" fontId="4" fillId="7" borderId="10" xfId="0" applyNumberFormat="1" applyFont="1" applyFill="1" applyBorder="1" applyAlignment="1">
      <alignment horizontal="center" vertical="center" wrapText="1"/>
    </xf>
    <xf numFmtId="3" fontId="12" fillId="7" borderId="10" xfId="0" applyNumberFormat="1" applyFont="1" applyFill="1" applyBorder="1" applyAlignment="1">
      <alignment horizontal="center" vertical="center" wrapText="1"/>
    </xf>
    <xf numFmtId="167" fontId="8" fillId="7" borderId="10" xfId="0" applyNumberFormat="1" applyFont="1" applyFill="1" applyBorder="1" applyAlignment="1" applyProtection="1">
      <alignment horizontal="right" vertical="center"/>
      <protection/>
    </xf>
    <xf numFmtId="167" fontId="9" fillId="7" borderId="10" xfId="0" applyNumberFormat="1" applyFont="1" applyFill="1" applyBorder="1" applyAlignment="1" applyProtection="1">
      <alignment horizontal="right" vertical="center"/>
      <protection/>
    </xf>
    <xf numFmtId="167" fontId="9" fillId="7" borderId="10" xfId="0" applyNumberFormat="1" applyFont="1" applyFill="1" applyBorder="1" applyAlignment="1" applyProtection="1">
      <alignment horizontal="right" vertical="center"/>
      <protection locked="0"/>
    </xf>
    <xf numFmtId="167" fontId="9" fillId="7" borderId="10" xfId="0" applyNumberFormat="1" applyFont="1" applyFill="1" applyBorder="1" applyAlignment="1" applyProtection="1">
      <alignment horizontal="right" vertical="center" wrapText="1"/>
      <protection locked="0"/>
    </xf>
    <xf numFmtId="167" fontId="3" fillId="7" borderId="10" xfId="0" applyNumberFormat="1" applyFont="1" applyFill="1" applyBorder="1" applyAlignment="1" applyProtection="1">
      <alignment horizontal="right" vertical="center" wrapText="1"/>
      <protection locked="0"/>
    </xf>
    <xf numFmtId="167" fontId="2" fillId="7" borderId="12" xfId="0" applyNumberFormat="1" applyFont="1" applyFill="1" applyBorder="1" applyAlignment="1" applyProtection="1">
      <alignment horizontal="right" vertical="center"/>
      <protection/>
    </xf>
    <xf numFmtId="167" fontId="2" fillId="7" borderId="10" xfId="0" applyNumberFormat="1" applyFont="1" applyFill="1" applyBorder="1" applyAlignment="1" applyProtection="1">
      <alignment horizontal="right" vertical="center"/>
      <protection/>
    </xf>
    <xf numFmtId="167" fontId="2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167" fontId="3" fillId="7" borderId="10" xfId="0" applyNumberFormat="1" applyFont="1" applyFill="1" applyBorder="1" applyAlignment="1">
      <alignment horizontal="right" vertical="center"/>
    </xf>
    <xf numFmtId="167" fontId="3" fillId="7" borderId="10" xfId="0" applyNumberFormat="1" applyFont="1" applyFill="1" applyBorder="1" applyAlignment="1">
      <alignment horizontal="right" vertical="center" wrapText="1"/>
    </xf>
    <xf numFmtId="167" fontId="2" fillId="7" borderId="10" xfId="0" applyNumberFormat="1" applyFont="1" applyFill="1" applyBorder="1" applyAlignment="1">
      <alignment horizontal="right" vertical="center"/>
    </xf>
    <xf numFmtId="49" fontId="3" fillId="7" borderId="10" xfId="0" applyNumberFormat="1" applyFont="1" applyFill="1" applyBorder="1" applyAlignment="1">
      <alignment horizontal="justify" vertical="center" wrapText="1"/>
    </xf>
    <xf numFmtId="167" fontId="2" fillId="7" borderId="12" xfId="0" applyNumberFormat="1" applyFont="1" applyFill="1" applyBorder="1" applyAlignment="1">
      <alignment horizontal="right" vertical="center"/>
    </xf>
    <xf numFmtId="167" fontId="2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horizontal="justify" vertical="center"/>
    </xf>
    <xf numFmtId="0" fontId="2" fillId="35" borderId="10" xfId="0" applyNumberFormat="1" applyFont="1" applyFill="1" applyBorder="1" applyAlignment="1">
      <alignment horizontal="justify" vertical="center"/>
    </xf>
    <xf numFmtId="165" fontId="3" fillId="33" borderId="10" xfId="57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justify" vertical="center"/>
    </xf>
    <xf numFmtId="167" fontId="3" fillId="35" borderId="10" xfId="0" applyNumberFormat="1" applyFont="1" applyFill="1" applyBorder="1" applyAlignment="1">
      <alignment horizontal="right" vertical="center"/>
    </xf>
    <xf numFmtId="167" fontId="8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167" fontId="2" fillId="0" borderId="12" xfId="0" applyNumberFormat="1" applyFont="1" applyFill="1" applyBorder="1" applyAlignment="1">
      <alignment horizontal="right" vertical="center"/>
    </xf>
    <xf numFmtId="167" fontId="3" fillId="34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 wrapText="1"/>
    </xf>
    <xf numFmtId="167" fontId="3" fillId="34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>
      <alignment horizontal="justify" vertical="center"/>
    </xf>
    <xf numFmtId="167" fontId="2" fillId="37" borderId="10" xfId="0" applyNumberFormat="1" applyFont="1" applyFill="1" applyBorder="1" applyAlignment="1" applyProtection="1">
      <alignment horizontal="right" vertical="center"/>
      <protection/>
    </xf>
    <xf numFmtId="167" fontId="2" fillId="4" borderId="10" xfId="0" applyNumberFormat="1" applyFont="1" applyFill="1" applyBorder="1" applyAlignment="1">
      <alignment horizontal="right" vertical="center"/>
    </xf>
    <xf numFmtId="167" fontId="3" fillId="4" borderId="10" xfId="0" applyNumberFormat="1" applyFont="1" applyFill="1" applyBorder="1" applyAlignment="1">
      <alignment horizontal="right" vertical="center"/>
    </xf>
    <xf numFmtId="167" fontId="3" fillId="35" borderId="10" xfId="0" applyNumberFormat="1" applyFont="1" applyFill="1" applyBorder="1" applyAlignment="1" applyProtection="1">
      <alignment horizontal="right" vertical="center"/>
      <protection/>
    </xf>
    <xf numFmtId="167" fontId="2" fillId="38" borderId="10" xfId="0" applyNumberFormat="1" applyFont="1" applyFill="1" applyBorder="1" applyAlignment="1">
      <alignment horizontal="right" vertical="center"/>
    </xf>
    <xf numFmtId="167" fontId="2" fillId="38" borderId="10" xfId="0" applyNumberFormat="1" applyFont="1" applyFill="1" applyBorder="1" applyAlignment="1">
      <alignment horizontal="right" vertical="center"/>
    </xf>
    <xf numFmtId="167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7" fontId="3" fillId="7" borderId="10" xfId="0" applyNumberFormat="1" applyFont="1" applyFill="1" applyBorder="1" applyAlignment="1" applyProtection="1">
      <alignment horizontal="right" vertical="center"/>
      <protection/>
    </xf>
    <xf numFmtId="167" fontId="3" fillId="0" borderId="10" xfId="0" applyNumberFormat="1" applyFont="1" applyFill="1" applyBorder="1" applyAlignment="1" applyProtection="1">
      <alignment horizontal="right" vertical="center"/>
      <protection/>
    </xf>
    <xf numFmtId="167" fontId="3" fillId="33" borderId="10" xfId="57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35" borderId="10" xfId="0" applyNumberFormat="1" applyFont="1" applyFill="1" applyBorder="1" applyAlignment="1" applyProtection="1">
      <alignment horizontal="right" vertical="center"/>
      <protection locked="0"/>
    </xf>
    <xf numFmtId="167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167" fontId="3" fillId="34" borderId="10" xfId="0" applyNumberFormat="1" applyFont="1" applyFill="1" applyBorder="1" applyAlignment="1" applyProtection="1">
      <alignment horizontal="right" vertical="center"/>
      <protection/>
    </xf>
    <xf numFmtId="169" fontId="3" fillId="37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7" borderId="10" xfId="0" applyNumberFormat="1" applyFont="1" applyFill="1" applyBorder="1" applyAlignment="1" applyProtection="1">
      <alignment horizontal="left" vertical="top" wrapText="1"/>
      <protection locked="0"/>
    </xf>
    <xf numFmtId="167" fontId="3" fillId="37" borderId="10" xfId="0" applyNumberFormat="1" applyFont="1" applyFill="1" applyBorder="1" applyAlignment="1" applyProtection="1">
      <alignment horizontal="right" vertical="center"/>
      <protection/>
    </xf>
    <xf numFmtId="167" fontId="9" fillId="33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vertical="center"/>
    </xf>
    <xf numFmtId="165" fontId="2" fillId="33" borderId="10" xfId="57" applyNumberFormat="1" applyFont="1" applyFill="1" applyBorder="1" applyAlignment="1">
      <alignment vertical="center"/>
    </xf>
    <xf numFmtId="168" fontId="2" fillId="33" borderId="10" xfId="0" applyNumberFormat="1" applyFont="1" applyFill="1" applyBorder="1" applyAlignment="1">
      <alignment vertical="center"/>
    </xf>
    <xf numFmtId="165" fontId="2" fillId="33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justify" vertical="center"/>
    </xf>
    <xf numFmtId="165" fontId="2" fillId="33" borderId="12" xfId="57" applyNumberFormat="1" applyFont="1" applyFill="1" applyBorder="1" applyAlignment="1">
      <alignment horizontal="right" vertical="center"/>
    </xf>
    <xf numFmtId="165" fontId="2" fillId="33" borderId="11" xfId="57" applyNumberFormat="1" applyFont="1" applyFill="1" applyBorder="1" applyAlignment="1">
      <alignment horizontal="right" vertical="center"/>
    </xf>
    <xf numFmtId="168" fontId="2" fillId="33" borderId="12" xfId="0" applyNumberFormat="1" applyFont="1" applyFill="1" applyBorder="1" applyAlignment="1">
      <alignment horizontal="right" vertical="center"/>
    </xf>
    <xf numFmtId="168" fontId="2" fillId="33" borderId="11" xfId="0" applyNumberFormat="1" applyFont="1" applyFill="1" applyBorder="1" applyAlignment="1">
      <alignment horizontal="right" vertical="center"/>
    </xf>
    <xf numFmtId="165" fontId="2" fillId="33" borderId="12" xfId="57" applyNumberFormat="1" applyFont="1" applyFill="1" applyBorder="1" applyAlignment="1">
      <alignment horizontal="right" vertical="center"/>
    </xf>
    <xf numFmtId="165" fontId="2" fillId="33" borderId="11" xfId="5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2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7" borderId="12" xfId="0" applyNumberFormat="1" applyFont="1" applyFill="1" applyBorder="1" applyAlignment="1">
      <alignment horizontal="right" vertical="center"/>
    </xf>
    <xf numFmtId="167" fontId="2" fillId="7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SheetLayoutView="100" zoomScalePageLayoutView="0" workbookViewId="0" topLeftCell="A1">
      <pane ySplit="5" topLeftCell="A141" activePane="bottomLeft" state="frozen"/>
      <selection pane="topLeft" activeCell="A1" sqref="A1"/>
      <selection pane="bottomLeft" activeCell="B170" sqref="B170"/>
    </sheetView>
  </sheetViews>
  <sheetFormatPr defaultColWidth="9.125" defaultRowHeight="12.75"/>
  <cols>
    <col min="1" max="1" width="18.75390625" style="35" customWidth="1"/>
    <col min="2" max="2" width="33.75390625" style="68" customWidth="1"/>
    <col min="3" max="3" width="13.00390625" style="68" customWidth="1"/>
    <col min="4" max="4" width="12.625" style="69" customWidth="1"/>
    <col min="5" max="5" width="9.625" style="70" customWidth="1"/>
    <col min="6" max="6" width="12.875" style="70" customWidth="1"/>
    <col min="7" max="7" width="10.25390625" style="70" customWidth="1"/>
    <col min="8" max="8" width="8.875" style="70" bestFit="1" customWidth="1"/>
    <col min="9" max="9" width="11.625" style="70" customWidth="1"/>
    <col min="10" max="10" width="9.625" style="70" customWidth="1"/>
    <col min="11" max="11" width="10.125" style="70" customWidth="1"/>
    <col min="12" max="12" width="9.25390625" style="70" customWidth="1"/>
    <col min="13" max="16384" width="9.125" style="2" customWidth="1"/>
  </cols>
  <sheetData>
    <row r="1" spans="8:12" ht="13.5">
      <c r="H1" s="223"/>
      <c r="I1" s="223"/>
      <c r="J1" s="223"/>
      <c r="K1" s="223"/>
      <c r="L1" s="223"/>
    </row>
    <row r="2" spans="1:12" ht="16.5">
      <c r="A2" s="226" t="s">
        <v>197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1"/>
    </row>
    <row r="3" spans="1:12" ht="13.5">
      <c r="A3" s="72"/>
      <c r="B3" s="73"/>
      <c r="C3" s="73"/>
      <c r="D3" s="74"/>
      <c r="E3" s="75"/>
      <c r="F3" s="14"/>
      <c r="G3" s="14"/>
      <c r="L3" s="35" t="s">
        <v>151</v>
      </c>
    </row>
    <row r="4" spans="1:12" s="13" customFormat="1" ht="76.5">
      <c r="A4" s="16" t="s">
        <v>18</v>
      </c>
      <c r="B4" s="4" t="s">
        <v>20</v>
      </c>
      <c r="C4" s="150" t="s">
        <v>81</v>
      </c>
      <c r="D4" s="31" t="s">
        <v>192</v>
      </c>
      <c r="E4" s="3" t="s">
        <v>193</v>
      </c>
      <c r="F4" s="3" t="s">
        <v>194</v>
      </c>
      <c r="G4" s="3" t="s">
        <v>195</v>
      </c>
      <c r="H4" s="103" t="s">
        <v>178</v>
      </c>
      <c r="I4" s="103" t="s">
        <v>198</v>
      </c>
      <c r="J4" s="102" t="s">
        <v>19</v>
      </c>
      <c r="K4" s="103" t="s">
        <v>11</v>
      </c>
      <c r="L4" s="104" t="s">
        <v>196</v>
      </c>
    </row>
    <row r="5" spans="1:12" s="48" customFormat="1" ht="11.25">
      <c r="A5" s="47">
        <v>1</v>
      </c>
      <c r="B5" s="76" t="s">
        <v>82</v>
      </c>
      <c r="C5" s="151">
        <v>3</v>
      </c>
      <c r="D5" s="49">
        <v>4</v>
      </c>
      <c r="E5" s="47">
        <v>5</v>
      </c>
      <c r="F5" s="47">
        <v>6</v>
      </c>
      <c r="G5" s="47">
        <v>7</v>
      </c>
      <c r="H5" s="106">
        <v>10</v>
      </c>
      <c r="I5" s="106"/>
      <c r="J5" s="105">
        <v>11</v>
      </c>
      <c r="K5" s="106">
        <v>12</v>
      </c>
      <c r="L5" s="107">
        <v>13</v>
      </c>
    </row>
    <row r="6" spans="1:13" s="15" customFormat="1" ht="16.5">
      <c r="A6" s="52" t="s">
        <v>28</v>
      </c>
      <c r="B6" s="161" t="s">
        <v>29</v>
      </c>
      <c r="C6" s="152">
        <f>C7+C21</f>
        <v>459773.8</v>
      </c>
      <c r="D6" s="178">
        <f>D7+D21</f>
        <v>548078.6</v>
      </c>
      <c r="E6" s="178">
        <f>E7+E21</f>
        <v>346035.4</v>
      </c>
      <c r="F6" s="178">
        <f>F7+F21</f>
        <v>314070.3</v>
      </c>
      <c r="G6" s="178">
        <f>G7+G21</f>
        <v>349786.9</v>
      </c>
      <c r="H6" s="142">
        <v>0.841</v>
      </c>
      <c r="I6" s="144">
        <f>IF(E6=0,"0,0%",G6/E6)</f>
        <v>1.011</v>
      </c>
      <c r="J6" s="89">
        <f>G6-D6</f>
        <v>-198291.7</v>
      </c>
      <c r="K6" s="88">
        <f>G6/D6</f>
        <v>0.638</v>
      </c>
      <c r="L6" s="116">
        <f>L7+L21</f>
        <v>35716.6</v>
      </c>
      <c r="M6" s="25"/>
    </row>
    <row r="7" spans="1:13" s="15" customFormat="1" ht="13.5">
      <c r="A7" s="52"/>
      <c r="B7" s="53" t="s">
        <v>12</v>
      </c>
      <c r="C7" s="152">
        <f>C9+C11+C15</f>
        <v>386156.6</v>
      </c>
      <c r="D7" s="178">
        <f>D9+D11+D15</f>
        <v>433366.1</v>
      </c>
      <c r="E7" s="178">
        <f>E9+E11+E15</f>
        <v>264061.3</v>
      </c>
      <c r="F7" s="178">
        <f>F9+F11+F15</f>
        <v>250198.1</v>
      </c>
      <c r="G7" s="178">
        <f>G9+G11+G15</f>
        <v>266846.6</v>
      </c>
      <c r="H7" s="142">
        <v>0.642</v>
      </c>
      <c r="I7" s="144">
        <f aca="true" t="shared" si="0" ref="I7:I48">IF(E7=0,"0,0%",G7/E7)</f>
        <v>1.011</v>
      </c>
      <c r="J7" s="89">
        <f aca="true" t="shared" si="1" ref="J7:J38">G7-D7</f>
        <v>-166519.5</v>
      </c>
      <c r="K7" s="88">
        <f aca="true" t="shared" si="2" ref="K7:K39">G7/D7</f>
        <v>0.616</v>
      </c>
      <c r="L7" s="116">
        <f>L9+L11+L15</f>
        <v>16648.5</v>
      </c>
      <c r="M7" s="25"/>
    </row>
    <row r="8" spans="1:13" s="15" customFormat="1" ht="13.5">
      <c r="A8" s="52" t="s">
        <v>30</v>
      </c>
      <c r="B8" s="53" t="s">
        <v>31</v>
      </c>
      <c r="C8" s="152">
        <f>SUM(C9)</f>
        <v>199032.1</v>
      </c>
      <c r="D8" s="66">
        <f>SUM(D9)</f>
        <v>228241.6</v>
      </c>
      <c r="E8" s="66">
        <f>SUM(E9)</f>
        <v>143019</v>
      </c>
      <c r="F8" s="66">
        <f>SUM(F9)</f>
        <v>131956.4</v>
      </c>
      <c r="G8" s="66">
        <f>SUM(G9)</f>
        <v>143702.5</v>
      </c>
      <c r="H8" s="142">
        <v>0.345</v>
      </c>
      <c r="I8" s="144">
        <f t="shared" si="0"/>
        <v>1.005</v>
      </c>
      <c r="J8" s="89">
        <f t="shared" si="1"/>
        <v>-84539.1</v>
      </c>
      <c r="K8" s="88">
        <f t="shared" si="2"/>
        <v>0.63</v>
      </c>
      <c r="L8" s="116">
        <f>SUM(L9)</f>
        <v>11746.1</v>
      </c>
      <c r="M8" s="25"/>
    </row>
    <row r="9" spans="1:13" s="15" customFormat="1" ht="13.5">
      <c r="A9" s="52" t="s">
        <v>32</v>
      </c>
      <c r="B9" s="115" t="s">
        <v>13</v>
      </c>
      <c r="C9" s="152">
        <v>199032.1</v>
      </c>
      <c r="D9" s="66">
        <v>228241.6</v>
      </c>
      <c r="E9" s="66">
        <v>143019</v>
      </c>
      <c r="F9" s="66">
        <v>131956.4</v>
      </c>
      <c r="G9" s="66">
        <v>143702.5</v>
      </c>
      <c r="H9" s="142">
        <v>0.345</v>
      </c>
      <c r="I9" s="144">
        <f t="shared" si="0"/>
        <v>1.005</v>
      </c>
      <c r="J9" s="89">
        <f t="shared" si="1"/>
        <v>-84539.1</v>
      </c>
      <c r="K9" s="88">
        <f t="shared" si="2"/>
        <v>0.63</v>
      </c>
      <c r="L9" s="116">
        <f>G9-F9</f>
        <v>11746.1</v>
      </c>
      <c r="M9" s="25"/>
    </row>
    <row r="10" spans="1:13" s="15" customFormat="1" ht="81">
      <c r="A10" s="54" t="s">
        <v>152</v>
      </c>
      <c r="B10" s="56" t="s">
        <v>208</v>
      </c>
      <c r="C10" s="153">
        <v>199032.1</v>
      </c>
      <c r="D10" s="131">
        <v>225435.6</v>
      </c>
      <c r="E10" s="131">
        <v>140913</v>
      </c>
      <c r="F10" s="131">
        <v>130014.2</v>
      </c>
      <c r="G10" s="131">
        <v>141587.2</v>
      </c>
      <c r="H10" s="140">
        <v>0.34</v>
      </c>
      <c r="I10" s="144">
        <f t="shared" si="0"/>
        <v>1.005</v>
      </c>
      <c r="J10" s="109">
        <f t="shared" si="1"/>
        <v>-83848.4</v>
      </c>
      <c r="K10" s="88">
        <f t="shared" si="2"/>
        <v>0.628</v>
      </c>
      <c r="L10" s="132">
        <f>G10-F10</f>
        <v>11573</v>
      </c>
      <c r="M10" s="25"/>
    </row>
    <row r="11" spans="1:13" s="22" customFormat="1" ht="13.5">
      <c r="A11" s="52" t="s">
        <v>106</v>
      </c>
      <c r="B11" s="59" t="s">
        <v>14</v>
      </c>
      <c r="C11" s="152">
        <f>SUM(C12)</f>
        <v>2518.5</v>
      </c>
      <c r="D11" s="66">
        <f>SUM(D12)</f>
        <v>2518.5</v>
      </c>
      <c r="E11" s="66">
        <f>SUM(E12)</f>
        <v>518.5</v>
      </c>
      <c r="F11" s="66">
        <f>SUM(F12)</f>
        <v>2723.6</v>
      </c>
      <c r="G11" s="66">
        <f>SUM(G12)</f>
        <v>508.8</v>
      </c>
      <c r="H11" s="142">
        <v>0.001</v>
      </c>
      <c r="I11" s="144">
        <f t="shared" si="0"/>
        <v>0.981</v>
      </c>
      <c r="J11" s="89">
        <f t="shared" si="1"/>
        <v>-2009.7</v>
      </c>
      <c r="K11" s="88">
        <f t="shared" si="2"/>
        <v>0.202</v>
      </c>
      <c r="L11" s="116">
        <f>SUM(L12)</f>
        <v>-2214.8</v>
      </c>
      <c r="M11" s="26"/>
    </row>
    <row r="12" spans="1:13" s="22" customFormat="1" ht="13.5">
      <c r="A12" s="52" t="s">
        <v>33</v>
      </c>
      <c r="B12" s="53" t="s">
        <v>0</v>
      </c>
      <c r="C12" s="152">
        <f>C13+C14</f>
        <v>2518.5</v>
      </c>
      <c r="D12" s="66">
        <f>D13+D14</f>
        <v>2518.5</v>
      </c>
      <c r="E12" s="66">
        <f>E13+E14</f>
        <v>518.5</v>
      </c>
      <c r="F12" s="66">
        <f>F13+F14</f>
        <v>2723.6</v>
      </c>
      <c r="G12" s="66">
        <f>G13+G14</f>
        <v>508.8</v>
      </c>
      <c r="H12" s="142">
        <v>0.001</v>
      </c>
      <c r="I12" s="144">
        <f t="shared" si="0"/>
        <v>0.981</v>
      </c>
      <c r="J12" s="89">
        <f t="shared" si="1"/>
        <v>-2009.7</v>
      </c>
      <c r="K12" s="88">
        <f t="shared" si="2"/>
        <v>0.202</v>
      </c>
      <c r="L12" s="116">
        <f>L13+L14</f>
        <v>-2214.8</v>
      </c>
      <c r="M12" s="26"/>
    </row>
    <row r="13" spans="1:13" s="22" customFormat="1" ht="13.5">
      <c r="A13" s="54" t="s">
        <v>91</v>
      </c>
      <c r="B13" s="56" t="s">
        <v>0</v>
      </c>
      <c r="C13" s="154">
        <v>2518.5</v>
      </c>
      <c r="D13" s="30">
        <v>2468.5</v>
      </c>
      <c r="E13" s="30">
        <v>468.5</v>
      </c>
      <c r="F13" s="30">
        <v>2358.8</v>
      </c>
      <c r="G13" s="30">
        <v>468.9</v>
      </c>
      <c r="H13" s="140">
        <v>0.001</v>
      </c>
      <c r="I13" s="144">
        <f t="shared" si="0"/>
        <v>1.001</v>
      </c>
      <c r="J13" s="109">
        <f t="shared" si="1"/>
        <v>-1999.6</v>
      </c>
      <c r="K13" s="88">
        <f t="shared" si="2"/>
        <v>0.19</v>
      </c>
      <c r="L13" s="132">
        <f>G13-F13</f>
        <v>-1889.9</v>
      </c>
      <c r="M13" s="26"/>
    </row>
    <row r="14" spans="1:13" s="22" customFormat="1" ht="29.25" customHeight="1">
      <c r="A14" s="54" t="s">
        <v>92</v>
      </c>
      <c r="B14" s="56" t="s">
        <v>93</v>
      </c>
      <c r="C14" s="154">
        <v>0</v>
      </c>
      <c r="D14" s="30">
        <v>50</v>
      </c>
      <c r="E14" s="30">
        <v>50</v>
      </c>
      <c r="F14" s="30">
        <v>364.8</v>
      </c>
      <c r="G14" s="30">
        <v>39.9</v>
      </c>
      <c r="H14" s="140">
        <v>0</v>
      </c>
      <c r="I14" s="144">
        <f t="shared" si="0"/>
        <v>0.798</v>
      </c>
      <c r="J14" s="109">
        <f t="shared" si="1"/>
        <v>-10.1</v>
      </c>
      <c r="K14" s="88">
        <f t="shared" si="2"/>
        <v>0.798</v>
      </c>
      <c r="L14" s="132">
        <f>G14-F14</f>
        <v>-324.9</v>
      </c>
      <c r="M14" s="26"/>
    </row>
    <row r="15" spans="1:13" s="22" customFormat="1" ht="13.5">
      <c r="A15" s="52" t="s">
        <v>107</v>
      </c>
      <c r="B15" s="53" t="s">
        <v>15</v>
      </c>
      <c r="C15" s="152">
        <f>SUM(C16+C18)</f>
        <v>184606</v>
      </c>
      <c r="D15" s="66">
        <f>SUM(D16+D18)</f>
        <v>202606</v>
      </c>
      <c r="E15" s="66">
        <f>SUM(E16+E18)</f>
        <v>120523.8</v>
      </c>
      <c r="F15" s="66">
        <f>SUM(F16+F18)</f>
        <v>115518.1</v>
      </c>
      <c r="G15" s="66">
        <f>SUM(G16+G18)</f>
        <v>122635.3</v>
      </c>
      <c r="H15" s="142">
        <v>0.295</v>
      </c>
      <c r="I15" s="144">
        <f t="shared" si="0"/>
        <v>1.018</v>
      </c>
      <c r="J15" s="89">
        <f t="shared" si="1"/>
        <v>-79970.7</v>
      </c>
      <c r="K15" s="88">
        <f t="shared" si="2"/>
        <v>0.605</v>
      </c>
      <c r="L15" s="116">
        <f>SUM(L16+L18)</f>
        <v>7117.2</v>
      </c>
      <c r="M15" s="26"/>
    </row>
    <row r="16" spans="1:13" s="28" customFormat="1" ht="13.5">
      <c r="A16" s="52" t="s">
        <v>37</v>
      </c>
      <c r="B16" s="53" t="s">
        <v>36</v>
      </c>
      <c r="C16" s="152">
        <f>C17</f>
        <v>64806</v>
      </c>
      <c r="D16" s="66">
        <f>D17</f>
        <v>64806</v>
      </c>
      <c r="E16" s="66">
        <f>E17</f>
        <v>31700</v>
      </c>
      <c r="F16" s="66">
        <f>F17</f>
        <v>29256.7</v>
      </c>
      <c r="G16" s="66">
        <f>G17</f>
        <v>33067.5</v>
      </c>
      <c r="H16" s="142">
        <v>0.079</v>
      </c>
      <c r="I16" s="144">
        <f t="shared" si="0"/>
        <v>1.043</v>
      </c>
      <c r="J16" s="89">
        <f t="shared" si="1"/>
        <v>-31738.5</v>
      </c>
      <c r="K16" s="88">
        <f t="shared" si="2"/>
        <v>0.51</v>
      </c>
      <c r="L16" s="116">
        <f>L17</f>
        <v>3810.8</v>
      </c>
      <c r="M16" s="27"/>
    </row>
    <row r="17" spans="1:13" s="22" customFormat="1" ht="54">
      <c r="A17" s="54" t="s">
        <v>34</v>
      </c>
      <c r="B17" s="56" t="s">
        <v>40</v>
      </c>
      <c r="C17" s="155">
        <v>64806</v>
      </c>
      <c r="D17" s="67">
        <v>64806</v>
      </c>
      <c r="E17" s="67">
        <v>31700</v>
      </c>
      <c r="F17" s="67">
        <v>29256.7</v>
      </c>
      <c r="G17" s="67">
        <v>33067.5</v>
      </c>
      <c r="H17" s="140">
        <v>0.079</v>
      </c>
      <c r="I17" s="144">
        <f t="shared" si="0"/>
        <v>1.043</v>
      </c>
      <c r="J17" s="109">
        <f t="shared" si="1"/>
        <v>-31738.5</v>
      </c>
      <c r="K17" s="88">
        <f t="shared" si="2"/>
        <v>0.51</v>
      </c>
      <c r="L17" s="132">
        <f>G17-F17</f>
        <v>3810.8</v>
      </c>
      <c r="M17" s="26"/>
    </row>
    <row r="18" spans="1:13" s="28" customFormat="1" ht="13.5">
      <c r="A18" s="52" t="s">
        <v>35</v>
      </c>
      <c r="B18" s="53" t="s">
        <v>16</v>
      </c>
      <c r="C18" s="152">
        <f>SUM(C19:C20)</f>
        <v>119800</v>
      </c>
      <c r="D18" s="66">
        <f>SUM(D19:D20)</f>
        <v>137800</v>
      </c>
      <c r="E18" s="66">
        <f>SUM(E19:E20)</f>
        <v>88823.8</v>
      </c>
      <c r="F18" s="66">
        <f>SUM(F19:F20)</f>
        <v>86261.4</v>
      </c>
      <c r="G18" s="66">
        <f>SUM(G19:G20)</f>
        <v>89567.8</v>
      </c>
      <c r="H18" s="142">
        <v>0.215</v>
      </c>
      <c r="I18" s="144">
        <f t="shared" si="0"/>
        <v>1.008</v>
      </c>
      <c r="J18" s="89">
        <f t="shared" si="1"/>
        <v>-48232.2</v>
      </c>
      <c r="K18" s="88">
        <f t="shared" si="2"/>
        <v>0.65</v>
      </c>
      <c r="L18" s="116">
        <f>SUM(L19:L20)</f>
        <v>3306.4</v>
      </c>
      <c r="M18" s="27"/>
    </row>
    <row r="19" spans="1:13" s="28" customFormat="1" ht="81">
      <c r="A19" s="54" t="s">
        <v>38</v>
      </c>
      <c r="B19" s="56" t="s">
        <v>41</v>
      </c>
      <c r="C19" s="155">
        <v>21000</v>
      </c>
      <c r="D19" s="67">
        <v>24000</v>
      </c>
      <c r="E19" s="67">
        <v>13000</v>
      </c>
      <c r="F19" s="67">
        <v>14415.8</v>
      </c>
      <c r="G19" s="67">
        <v>13470.6</v>
      </c>
      <c r="H19" s="140">
        <v>0.032</v>
      </c>
      <c r="I19" s="144">
        <f t="shared" si="0"/>
        <v>1.036</v>
      </c>
      <c r="J19" s="109">
        <f t="shared" si="1"/>
        <v>-10529.4</v>
      </c>
      <c r="K19" s="88">
        <f t="shared" si="2"/>
        <v>0.561</v>
      </c>
      <c r="L19" s="132">
        <f>G19-F19</f>
        <v>-945.2</v>
      </c>
      <c r="M19" s="27"/>
    </row>
    <row r="20" spans="1:13" s="22" customFormat="1" ht="81">
      <c r="A20" s="54" t="s">
        <v>39</v>
      </c>
      <c r="B20" s="56" t="s">
        <v>42</v>
      </c>
      <c r="C20" s="155">
        <v>98800</v>
      </c>
      <c r="D20" s="67">
        <v>113800</v>
      </c>
      <c r="E20" s="67">
        <v>75823.8</v>
      </c>
      <c r="F20" s="67">
        <v>71845.6</v>
      </c>
      <c r="G20" s="67">
        <v>76097.2</v>
      </c>
      <c r="H20" s="140">
        <v>0.183</v>
      </c>
      <c r="I20" s="144">
        <f t="shared" si="0"/>
        <v>1.004</v>
      </c>
      <c r="J20" s="109">
        <f t="shared" si="1"/>
        <v>-37702.8</v>
      </c>
      <c r="K20" s="88">
        <f t="shared" si="2"/>
        <v>0.669</v>
      </c>
      <c r="L20" s="132">
        <f>G20-F20</f>
        <v>4251.6</v>
      </c>
      <c r="M20" s="26"/>
    </row>
    <row r="21" spans="1:13" s="28" customFormat="1" ht="13.5">
      <c r="A21" s="52"/>
      <c r="B21" s="53" t="s">
        <v>17</v>
      </c>
      <c r="C21" s="152">
        <f>C22+C28+C34+C32</f>
        <v>73617.2</v>
      </c>
      <c r="D21" s="178">
        <f>D22+D28+D34+D32</f>
        <v>114712.5</v>
      </c>
      <c r="E21" s="178">
        <f>E22+E28+E34+E32</f>
        <v>81974.1</v>
      </c>
      <c r="F21" s="178">
        <f>F22+F28+F34+F32</f>
        <v>63872.2</v>
      </c>
      <c r="G21" s="178">
        <f>G22+G28+G34+G32</f>
        <v>82940.3</v>
      </c>
      <c r="H21" s="142">
        <v>0.199</v>
      </c>
      <c r="I21" s="144">
        <f t="shared" si="0"/>
        <v>1.012</v>
      </c>
      <c r="J21" s="89">
        <f t="shared" si="1"/>
        <v>-31772.2</v>
      </c>
      <c r="K21" s="88">
        <f t="shared" si="2"/>
        <v>0.723</v>
      </c>
      <c r="L21" s="116">
        <f>L22+L28+L32</f>
        <v>19068.1</v>
      </c>
      <c r="M21" s="27"/>
    </row>
    <row r="22" spans="1:13" s="22" customFormat="1" ht="38.25" customHeight="1">
      <c r="A22" s="52" t="s">
        <v>44</v>
      </c>
      <c r="B22" s="53" t="s">
        <v>1</v>
      </c>
      <c r="C22" s="178">
        <f>C27+C24+C23+C26+C25</f>
        <v>61625.9</v>
      </c>
      <c r="D22" s="66">
        <f>D27+D24+D23+D26+D25</f>
        <v>82116.4</v>
      </c>
      <c r="E22" s="66">
        <f>E27+E24+E23+E26+E25</f>
        <v>61605.6</v>
      </c>
      <c r="F22" s="66">
        <f>F27+F24+F23+F26+F25</f>
        <v>54476.5</v>
      </c>
      <c r="G22" s="66">
        <f>G27+G24+G23+G26+G25</f>
        <v>62085.9</v>
      </c>
      <c r="H22" s="142">
        <v>0.149</v>
      </c>
      <c r="I22" s="144">
        <f t="shared" si="0"/>
        <v>1.008</v>
      </c>
      <c r="J22" s="89">
        <f t="shared" si="1"/>
        <v>-20030.5</v>
      </c>
      <c r="K22" s="88">
        <f t="shared" si="2"/>
        <v>0.756</v>
      </c>
      <c r="L22" s="116">
        <f>L27+L24+L23+L25+L26</f>
        <v>7609.4</v>
      </c>
      <c r="M22" s="26"/>
    </row>
    <row r="23" spans="1:13" s="22" customFormat="1" ht="84.75" customHeight="1">
      <c r="A23" s="54" t="s">
        <v>148</v>
      </c>
      <c r="B23" s="187" t="s">
        <v>47</v>
      </c>
      <c r="C23" s="155">
        <v>55850</v>
      </c>
      <c r="D23" s="30">
        <v>75850</v>
      </c>
      <c r="E23" s="67">
        <v>56500</v>
      </c>
      <c r="F23" s="30">
        <v>49891.2</v>
      </c>
      <c r="G23" s="67">
        <v>57034.3</v>
      </c>
      <c r="H23" s="140">
        <v>0.137</v>
      </c>
      <c r="I23" s="144">
        <f t="shared" si="0"/>
        <v>1.009</v>
      </c>
      <c r="J23" s="109">
        <f t="shared" si="1"/>
        <v>-18815.7</v>
      </c>
      <c r="K23" s="88">
        <f t="shared" si="2"/>
        <v>0.752</v>
      </c>
      <c r="L23" s="132">
        <f>G23-F23</f>
        <v>7143.1</v>
      </c>
      <c r="M23" s="26"/>
    </row>
    <row r="24" spans="1:13" s="22" customFormat="1" ht="72" customHeight="1">
      <c r="A24" s="54" t="s">
        <v>58</v>
      </c>
      <c r="B24" s="56" t="s">
        <v>94</v>
      </c>
      <c r="C24" s="155">
        <v>3681</v>
      </c>
      <c r="D24" s="30">
        <v>0</v>
      </c>
      <c r="E24" s="67">
        <v>0</v>
      </c>
      <c r="F24" s="30">
        <v>2731.4</v>
      </c>
      <c r="G24" s="67">
        <v>7</v>
      </c>
      <c r="H24" s="140">
        <v>0</v>
      </c>
      <c r="I24" s="144" t="str">
        <f t="shared" si="0"/>
        <v>0,0%</v>
      </c>
      <c r="J24" s="109">
        <f t="shared" si="1"/>
        <v>7</v>
      </c>
      <c r="K24" s="142">
        <v>0</v>
      </c>
      <c r="L24" s="132">
        <f>G24-F24</f>
        <v>-2724.4</v>
      </c>
      <c r="M24" s="26"/>
    </row>
    <row r="25" spans="1:13" s="22" customFormat="1" ht="40.5">
      <c r="A25" s="54" t="s">
        <v>179</v>
      </c>
      <c r="B25" s="56" t="s">
        <v>180</v>
      </c>
      <c r="C25" s="155">
        <v>0</v>
      </c>
      <c r="D25" s="30">
        <v>3681</v>
      </c>
      <c r="E25" s="67">
        <v>3010.8</v>
      </c>
      <c r="F25" s="30">
        <v>0</v>
      </c>
      <c r="G25" s="67">
        <v>3047.4</v>
      </c>
      <c r="H25" s="140">
        <v>0.007</v>
      </c>
      <c r="I25" s="144">
        <f t="shared" si="0"/>
        <v>1.012</v>
      </c>
      <c r="J25" s="109">
        <f t="shared" si="1"/>
        <v>-633.6</v>
      </c>
      <c r="K25" s="88">
        <f>G25/D25</f>
        <v>0.828</v>
      </c>
      <c r="L25" s="132">
        <f>G25-F25</f>
        <v>3047.4</v>
      </c>
      <c r="M25" s="26"/>
    </row>
    <row r="26" spans="1:13" s="22" customFormat="1" ht="54" customHeight="1">
      <c r="A26" s="54" t="s">
        <v>181</v>
      </c>
      <c r="B26" s="56" t="s">
        <v>170</v>
      </c>
      <c r="C26" s="155">
        <v>272.3</v>
      </c>
      <c r="D26" s="30">
        <v>762.8</v>
      </c>
      <c r="E26" s="67">
        <v>762.8</v>
      </c>
      <c r="F26" s="30">
        <v>471.8</v>
      </c>
      <c r="G26" s="67">
        <v>762.8</v>
      </c>
      <c r="H26" s="140">
        <v>0.002</v>
      </c>
      <c r="I26" s="144">
        <f t="shared" si="0"/>
        <v>1</v>
      </c>
      <c r="J26" s="109">
        <f t="shared" si="1"/>
        <v>0</v>
      </c>
      <c r="K26" s="88">
        <f t="shared" si="2"/>
        <v>1</v>
      </c>
      <c r="L26" s="132">
        <f>G26-F26</f>
        <v>291</v>
      </c>
      <c r="M26" s="26"/>
    </row>
    <row r="27" spans="1:13" s="28" customFormat="1" ht="83.25" customHeight="1">
      <c r="A27" s="17" t="s">
        <v>182</v>
      </c>
      <c r="B27" s="55" t="s">
        <v>95</v>
      </c>
      <c r="C27" s="156">
        <v>1822.6</v>
      </c>
      <c r="D27" s="30">
        <v>1822.6</v>
      </c>
      <c r="E27" s="45">
        <v>1332</v>
      </c>
      <c r="F27" s="30">
        <v>1382.1</v>
      </c>
      <c r="G27" s="45">
        <v>1234.4</v>
      </c>
      <c r="H27" s="140">
        <v>0.003</v>
      </c>
      <c r="I27" s="144">
        <f t="shared" si="0"/>
        <v>0.927</v>
      </c>
      <c r="J27" s="109">
        <f t="shared" si="1"/>
        <v>-588.2</v>
      </c>
      <c r="K27" s="88">
        <f t="shared" si="2"/>
        <v>0.677</v>
      </c>
      <c r="L27" s="132">
        <f>G27-F27</f>
        <v>-147.7</v>
      </c>
      <c r="M27" s="27"/>
    </row>
    <row r="28" spans="1:13" s="22" customFormat="1" ht="27">
      <c r="A28" s="60" t="s">
        <v>43</v>
      </c>
      <c r="B28" s="61" t="s">
        <v>2</v>
      </c>
      <c r="C28" s="157">
        <f>C30+C29+C31</f>
        <v>11931.3</v>
      </c>
      <c r="D28" s="77">
        <f>D30+D29+D31</f>
        <v>32101.1</v>
      </c>
      <c r="E28" s="77">
        <f>E30+E29+E31</f>
        <v>19933.5</v>
      </c>
      <c r="F28" s="77">
        <f>F30+F29+F31</f>
        <v>9395.7</v>
      </c>
      <c r="G28" s="77">
        <f>G30+G29+G31</f>
        <v>20308.3</v>
      </c>
      <c r="H28" s="142">
        <v>0.049</v>
      </c>
      <c r="I28" s="144">
        <f t="shared" si="0"/>
        <v>1.019</v>
      </c>
      <c r="J28" s="89">
        <f t="shared" si="1"/>
        <v>-11792.8</v>
      </c>
      <c r="K28" s="88">
        <f t="shared" si="2"/>
        <v>0.633</v>
      </c>
      <c r="L28" s="116">
        <f>L29+L30+L31</f>
        <v>10912.6</v>
      </c>
      <c r="M28" s="26"/>
    </row>
    <row r="29" spans="1:13" s="22" customFormat="1" ht="108">
      <c r="A29" s="17" t="s">
        <v>149</v>
      </c>
      <c r="B29" s="188" t="s">
        <v>138</v>
      </c>
      <c r="C29" s="156">
        <v>2006.3</v>
      </c>
      <c r="D29" s="30">
        <v>10971.5</v>
      </c>
      <c r="E29" s="45">
        <v>2639.9</v>
      </c>
      <c r="F29" s="30">
        <v>4285.8</v>
      </c>
      <c r="G29" s="45">
        <v>2739.2</v>
      </c>
      <c r="H29" s="140">
        <v>0.007</v>
      </c>
      <c r="I29" s="144">
        <f t="shared" si="0"/>
        <v>1.038</v>
      </c>
      <c r="J29" s="109">
        <f t="shared" si="1"/>
        <v>-8232.3</v>
      </c>
      <c r="K29" s="88">
        <f t="shared" si="2"/>
        <v>0.25</v>
      </c>
      <c r="L29" s="132">
        <f>G29-F29</f>
        <v>-1546.6</v>
      </c>
      <c r="M29" s="26"/>
    </row>
    <row r="30" spans="1:13" s="22" customFormat="1" ht="54">
      <c r="A30" s="17" t="s">
        <v>150</v>
      </c>
      <c r="B30" s="55" t="s">
        <v>48</v>
      </c>
      <c r="C30" s="156">
        <v>9925</v>
      </c>
      <c r="D30" s="30">
        <v>9925</v>
      </c>
      <c r="E30" s="45">
        <v>6089</v>
      </c>
      <c r="F30" s="30">
        <v>5109.9</v>
      </c>
      <c r="G30" s="45">
        <v>6208.1</v>
      </c>
      <c r="H30" s="140">
        <v>0.015</v>
      </c>
      <c r="I30" s="144">
        <f t="shared" si="0"/>
        <v>1.02</v>
      </c>
      <c r="J30" s="109">
        <f t="shared" si="1"/>
        <v>-3716.9</v>
      </c>
      <c r="K30" s="88">
        <f t="shared" si="2"/>
        <v>0.626</v>
      </c>
      <c r="L30" s="132">
        <f>G30-F30</f>
        <v>1098.2</v>
      </c>
      <c r="M30" s="26"/>
    </row>
    <row r="31" spans="1:13" s="22" customFormat="1" ht="59.25" customHeight="1">
      <c r="A31" s="17" t="s">
        <v>174</v>
      </c>
      <c r="B31" s="55" t="s">
        <v>175</v>
      </c>
      <c r="C31" s="156">
        <v>0</v>
      </c>
      <c r="D31" s="30">
        <v>11204.6</v>
      </c>
      <c r="E31" s="45">
        <v>11204.6</v>
      </c>
      <c r="F31" s="30">
        <v>0</v>
      </c>
      <c r="G31" s="45">
        <v>11361</v>
      </c>
      <c r="H31" s="140">
        <v>0.027</v>
      </c>
      <c r="I31" s="144">
        <f t="shared" si="0"/>
        <v>1.014</v>
      </c>
      <c r="J31" s="109">
        <f t="shared" si="1"/>
        <v>156.4</v>
      </c>
      <c r="K31" s="88">
        <f t="shared" si="2"/>
        <v>1.014</v>
      </c>
      <c r="L31" s="132">
        <f>G31-F31</f>
        <v>11361</v>
      </c>
      <c r="M31" s="26"/>
    </row>
    <row r="32" spans="1:13" s="22" customFormat="1" ht="27">
      <c r="A32" s="57" t="s">
        <v>172</v>
      </c>
      <c r="B32" s="197" t="s">
        <v>173</v>
      </c>
      <c r="C32" s="158">
        <v>60</v>
      </c>
      <c r="D32" s="158">
        <v>495</v>
      </c>
      <c r="E32" s="158">
        <v>435</v>
      </c>
      <c r="F32" s="196">
        <v>0</v>
      </c>
      <c r="G32" s="158">
        <v>546.1</v>
      </c>
      <c r="H32" s="142">
        <v>0.001</v>
      </c>
      <c r="I32" s="144">
        <f t="shared" si="0"/>
        <v>1.255</v>
      </c>
      <c r="J32" s="89">
        <f t="shared" si="1"/>
        <v>51.1</v>
      </c>
      <c r="K32" s="88">
        <f t="shared" si="2"/>
        <v>1.103</v>
      </c>
      <c r="L32" s="117">
        <f>G32-F32</f>
        <v>546.1</v>
      </c>
      <c r="M32" s="26"/>
    </row>
    <row r="33" spans="1:13" s="22" customFormat="1" ht="54">
      <c r="A33" s="17" t="s">
        <v>187</v>
      </c>
      <c r="B33" s="55" t="s">
        <v>188</v>
      </c>
      <c r="C33" s="156">
        <v>0</v>
      </c>
      <c r="D33" s="30">
        <v>435</v>
      </c>
      <c r="E33" s="45">
        <v>435</v>
      </c>
      <c r="F33" s="30">
        <v>0</v>
      </c>
      <c r="G33" s="45">
        <v>526</v>
      </c>
      <c r="H33" s="140">
        <v>0.001</v>
      </c>
      <c r="I33" s="144">
        <f t="shared" si="0"/>
        <v>1.209</v>
      </c>
      <c r="J33" s="109">
        <f t="shared" si="1"/>
        <v>91</v>
      </c>
      <c r="K33" s="88">
        <f t="shared" si="2"/>
        <v>1.209</v>
      </c>
      <c r="L33" s="132">
        <f>G33-F33</f>
        <v>526</v>
      </c>
      <c r="M33" s="26"/>
    </row>
    <row r="34" spans="1:13" s="22" customFormat="1" ht="13.5">
      <c r="A34" s="57" t="s">
        <v>3</v>
      </c>
      <c r="B34" s="58" t="s">
        <v>5</v>
      </c>
      <c r="C34" s="159">
        <f>SUM(C35)</f>
        <v>0</v>
      </c>
      <c r="D34" s="201">
        <f>SUM(D35)</f>
        <v>0</v>
      </c>
      <c r="E34" s="78">
        <f>SUM(E35)</f>
        <v>0</v>
      </c>
      <c r="F34" s="201">
        <f>SUM(F35)</f>
        <v>0</v>
      </c>
      <c r="G34" s="78">
        <f>SUM(G35)</f>
        <v>0</v>
      </c>
      <c r="H34" s="146">
        <v>0</v>
      </c>
      <c r="I34" s="144" t="str">
        <f t="shared" si="0"/>
        <v>0,0%</v>
      </c>
      <c r="J34" s="89">
        <f t="shared" si="1"/>
        <v>0</v>
      </c>
      <c r="K34" s="142">
        <v>0</v>
      </c>
      <c r="L34" s="116">
        <f>L35</f>
        <v>0</v>
      </c>
      <c r="M34" s="26"/>
    </row>
    <row r="35" spans="1:13" s="22" customFormat="1" ht="27">
      <c r="A35" s="17" t="s">
        <v>80</v>
      </c>
      <c r="B35" s="55" t="s">
        <v>56</v>
      </c>
      <c r="C35" s="198">
        <v>0</v>
      </c>
      <c r="D35" s="199">
        <v>0</v>
      </c>
      <c r="E35" s="199">
        <v>0</v>
      </c>
      <c r="F35" s="199">
        <v>0</v>
      </c>
      <c r="G35" s="199">
        <v>0</v>
      </c>
      <c r="H35" s="145">
        <v>0</v>
      </c>
      <c r="I35" s="144" t="str">
        <f t="shared" si="0"/>
        <v>0,0%</v>
      </c>
      <c r="J35" s="109">
        <f t="shared" si="1"/>
        <v>0</v>
      </c>
      <c r="K35" s="142">
        <v>0</v>
      </c>
      <c r="L35" s="132">
        <f>G35-F35</f>
        <v>0</v>
      </c>
      <c r="M35" s="26"/>
    </row>
    <row r="36" spans="1:13" s="22" customFormat="1" ht="13.5">
      <c r="A36" s="57" t="s">
        <v>45</v>
      </c>
      <c r="B36" s="58" t="s">
        <v>4</v>
      </c>
      <c r="C36" s="159">
        <f>SUM(C37,C39,C46,C43)</f>
        <v>57567</v>
      </c>
      <c r="D36" s="202">
        <f>SUM(D37,D39,D46,D43)</f>
        <v>68033.1</v>
      </c>
      <c r="E36" s="203">
        <f>SUM(E37,E39,E46,E43)</f>
        <v>66256.5</v>
      </c>
      <c r="F36" s="202">
        <f>SUM(F37,F39,F46,F43)</f>
        <v>86075.3</v>
      </c>
      <c r="G36" s="203">
        <f>SUM(G37,G39,G46,G43)</f>
        <v>66256.5</v>
      </c>
      <c r="H36" s="142">
        <v>0.159</v>
      </c>
      <c r="I36" s="144">
        <f t="shared" si="0"/>
        <v>1</v>
      </c>
      <c r="J36" s="89">
        <f t="shared" si="1"/>
        <v>-1776.6</v>
      </c>
      <c r="K36" s="88">
        <f t="shared" si="2"/>
        <v>0.974</v>
      </c>
      <c r="L36" s="116">
        <f>SUM(L37,L39,L43,L46)</f>
        <v>-19818.8</v>
      </c>
      <c r="M36" s="26"/>
    </row>
    <row r="37" spans="1:13" s="22" customFormat="1" ht="27">
      <c r="A37" s="57" t="s">
        <v>46</v>
      </c>
      <c r="B37" s="62" t="s">
        <v>51</v>
      </c>
      <c r="C37" s="158">
        <f>C38</f>
        <v>7106.4</v>
      </c>
      <c r="D37" s="190">
        <f>D38</f>
        <v>7106.4</v>
      </c>
      <c r="E37" s="190">
        <f>E38</f>
        <v>5329.8</v>
      </c>
      <c r="F37" s="190">
        <f>F38</f>
        <v>4866</v>
      </c>
      <c r="G37" s="190">
        <f>G38</f>
        <v>5329.8</v>
      </c>
      <c r="H37" s="142">
        <v>0.013</v>
      </c>
      <c r="I37" s="144">
        <f t="shared" si="0"/>
        <v>1</v>
      </c>
      <c r="J37" s="89">
        <f t="shared" si="1"/>
        <v>-1776.6</v>
      </c>
      <c r="K37" s="88">
        <f t="shared" si="2"/>
        <v>0.75</v>
      </c>
      <c r="L37" s="117">
        <f>L38</f>
        <v>463.8</v>
      </c>
      <c r="M37" s="26"/>
    </row>
    <row r="38" spans="1:13" s="22" customFormat="1" ht="70.5" customHeight="1">
      <c r="A38" s="209" t="s">
        <v>76</v>
      </c>
      <c r="B38" s="188" t="s">
        <v>57</v>
      </c>
      <c r="C38" s="198">
        <v>7106.4</v>
      </c>
      <c r="D38" s="199">
        <v>7106.4</v>
      </c>
      <c r="E38" s="199">
        <v>5329.8</v>
      </c>
      <c r="F38" s="199">
        <v>4866</v>
      </c>
      <c r="G38" s="199">
        <v>5329.8</v>
      </c>
      <c r="H38" s="140">
        <v>0.013</v>
      </c>
      <c r="I38" s="144">
        <f t="shared" si="0"/>
        <v>1</v>
      </c>
      <c r="J38" s="109">
        <f t="shared" si="1"/>
        <v>-1776.6</v>
      </c>
      <c r="K38" s="88">
        <f t="shared" si="2"/>
        <v>0.75</v>
      </c>
      <c r="L38" s="204">
        <f>G38-F38</f>
        <v>463.8</v>
      </c>
      <c r="M38" s="26"/>
    </row>
    <row r="39" spans="1:13" s="22" customFormat="1" ht="40.5">
      <c r="A39" s="65" t="s">
        <v>139</v>
      </c>
      <c r="B39" s="62" t="s">
        <v>140</v>
      </c>
      <c r="C39" s="159">
        <f>C41+C42+C40</f>
        <v>50460.6</v>
      </c>
      <c r="D39" s="78">
        <f>D41+D42+D40</f>
        <v>50460.6</v>
      </c>
      <c r="E39" s="78">
        <f>E41+E42+E40</f>
        <v>50460.6</v>
      </c>
      <c r="F39" s="78">
        <f>F41+F42+F40</f>
        <v>48983.5</v>
      </c>
      <c r="G39" s="78">
        <f>G41+G42+G40</f>
        <v>50460.6</v>
      </c>
      <c r="H39" s="142">
        <v>0.121</v>
      </c>
      <c r="I39" s="144">
        <f t="shared" si="0"/>
        <v>1</v>
      </c>
      <c r="J39" s="89">
        <f>G39/Всего_доходов_2003</f>
        <v>-1488.5</v>
      </c>
      <c r="K39" s="88">
        <f t="shared" si="2"/>
        <v>1</v>
      </c>
      <c r="L39" s="116">
        <f>L41+L42+L40</f>
        <v>1477.1</v>
      </c>
      <c r="M39" s="26"/>
    </row>
    <row r="40" spans="1:13" s="22" customFormat="1" ht="30" customHeight="1">
      <c r="A40" s="63" t="s">
        <v>204</v>
      </c>
      <c r="B40" s="64" t="s">
        <v>205</v>
      </c>
      <c r="C40" s="198">
        <v>0</v>
      </c>
      <c r="D40" s="199">
        <v>0</v>
      </c>
      <c r="E40" s="199">
        <v>0</v>
      </c>
      <c r="F40" s="199">
        <v>2774.1</v>
      </c>
      <c r="G40" s="199">
        <v>0</v>
      </c>
      <c r="H40" s="140">
        <v>0</v>
      </c>
      <c r="I40" s="144" t="str">
        <f t="shared" si="0"/>
        <v>0,0%</v>
      </c>
      <c r="J40" s="109">
        <f>G40-D40</f>
        <v>0</v>
      </c>
      <c r="K40" s="142">
        <v>0</v>
      </c>
      <c r="L40" s="200">
        <f>G40-F40</f>
        <v>-2774.1</v>
      </c>
      <c r="M40" s="26"/>
    </row>
    <row r="41" spans="1:12" s="28" customFormat="1" ht="81">
      <c r="A41" s="134" t="s">
        <v>159</v>
      </c>
      <c r="B41" s="133" t="s">
        <v>157</v>
      </c>
      <c r="C41" s="156">
        <v>24055.6</v>
      </c>
      <c r="D41" s="45">
        <v>24055.6</v>
      </c>
      <c r="E41" s="45">
        <v>24055.6</v>
      </c>
      <c r="F41" s="45">
        <v>23019.4</v>
      </c>
      <c r="G41" s="45">
        <v>24055.6</v>
      </c>
      <c r="H41" s="140">
        <v>0.058</v>
      </c>
      <c r="I41" s="144">
        <f t="shared" si="0"/>
        <v>1</v>
      </c>
      <c r="J41" s="109">
        <f>G41-D41</f>
        <v>0</v>
      </c>
      <c r="K41" s="88">
        <f>G41/D41</f>
        <v>1</v>
      </c>
      <c r="L41" s="132">
        <f>G41-F41</f>
        <v>1036.2</v>
      </c>
    </row>
    <row r="42" spans="1:12" s="28" customFormat="1" ht="54">
      <c r="A42" s="134" t="s">
        <v>160</v>
      </c>
      <c r="B42" s="133" t="s">
        <v>158</v>
      </c>
      <c r="C42" s="156">
        <v>26405</v>
      </c>
      <c r="D42" s="45">
        <v>26405</v>
      </c>
      <c r="E42" s="45">
        <v>26405</v>
      </c>
      <c r="F42" s="45">
        <v>23190</v>
      </c>
      <c r="G42" s="45">
        <v>26405</v>
      </c>
      <c r="H42" s="140">
        <v>0.063</v>
      </c>
      <c r="I42" s="144">
        <f t="shared" si="0"/>
        <v>1</v>
      </c>
      <c r="J42" s="109">
        <f>G42-D42</f>
        <v>0</v>
      </c>
      <c r="K42" s="88">
        <f>G42/D42</f>
        <v>1</v>
      </c>
      <c r="L42" s="132">
        <f>G42-F42</f>
        <v>3215</v>
      </c>
    </row>
    <row r="43" spans="1:12" s="28" customFormat="1" ht="13.5">
      <c r="A43" s="179" t="s">
        <v>186</v>
      </c>
      <c r="B43" s="180" t="s">
        <v>185</v>
      </c>
      <c r="C43" s="159">
        <f>C44+C45</f>
        <v>0</v>
      </c>
      <c r="D43" s="78">
        <f>D44+D45</f>
        <v>10500</v>
      </c>
      <c r="E43" s="78">
        <f>E44+E45</f>
        <v>10500</v>
      </c>
      <c r="F43" s="78">
        <f>F44+F45</f>
        <v>35000</v>
      </c>
      <c r="G43" s="78">
        <f>G44+G45</f>
        <v>10500</v>
      </c>
      <c r="H43" s="142">
        <v>0.025</v>
      </c>
      <c r="I43" s="144">
        <f t="shared" si="0"/>
        <v>1</v>
      </c>
      <c r="J43" s="89">
        <f>G43/Всего_доходов_2003</f>
        <v>-309.7</v>
      </c>
      <c r="K43" s="88">
        <f>G43/D43</f>
        <v>1</v>
      </c>
      <c r="L43" s="118">
        <f>L44+L45</f>
        <v>-24500</v>
      </c>
    </row>
    <row r="44" spans="1:12" s="28" customFormat="1" ht="40.5">
      <c r="A44" s="134" t="s">
        <v>183</v>
      </c>
      <c r="B44" s="133" t="s">
        <v>184</v>
      </c>
      <c r="C44" s="156">
        <v>0</v>
      </c>
      <c r="D44" s="45">
        <v>10500</v>
      </c>
      <c r="E44" s="45">
        <v>10500</v>
      </c>
      <c r="F44" s="45">
        <v>0</v>
      </c>
      <c r="G44" s="45">
        <v>10500</v>
      </c>
      <c r="H44" s="140">
        <v>0.025</v>
      </c>
      <c r="I44" s="144">
        <f t="shared" si="0"/>
        <v>1</v>
      </c>
      <c r="J44" s="109">
        <f>G44/Всего_доходов_2003</f>
        <v>-309.7</v>
      </c>
      <c r="K44" s="88">
        <f>G44/D44</f>
        <v>1</v>
      </c>
      <c r="L44" s="132">
        <f>G44-F44</f>
        <v>10500</v>
      </c>
    </row>
    <row r="45" spans="1:13" s="22" customFormat="1" ht="27">
      <c r="A45" s="63" t="s">
        <v>206</v>
      </c>
      <c r="B45" s="64" t="s">
        <v>207</v>
      </c>
      <c r="C45" s="156">
        <v>0</v>
      </c>
      <c r="D45" s="45">
        <v>0</v>
      </c>
      <c r="E45" s="45">
        <v>0</v>
      </c>
      <c r="F45" s="45">
        <v>35000</v>
      </c>
      <c r="G45" s="45">
        <v>0</v>
      </c>
      <c r="H45" s="140">
        <v>0</v>
      </c>
      <c r="I45" s="144" t="str">
        <f t="shared" si="0"/>
        <v>0,0%</v>
      </c>
      <c r="J45" s="109">
        <f>G45/Всего_доходов_2003</f>
        <v>0</v>
      </c>
      <c r="K45" s="142">
        <v>0</v>
      </c>
      <c r="L45" s="210">
        <f>G45-F45</f>
        <v>-35000</v>
      </c>
      <c r="M45" s="26"/>
    </row>
    <row r="46" spans="1:13" s="22" customFormat="1" ht="40.5">
      <c r="A46" s="65" t="s">
        <v>141</v>
      </c>
      <c r="B46" s="62" t="s">
        <v>142</v>
      </c>
      <c r="C46" s="159">
        <f>C47</f>
        <v>0</v>
      </c>
      <c r="D46" s="78">
        <f>D47</f>
        <v>-33.9</v>
      </c>
      <c r="E46" s="78">
        <f>E47</f>
        <v>-33.9</v>
      </c>
      <c r="F46" s="78">
        <f>F47</f>
        <v>-2774.2</v>
      </c>
      <c r="G46" s="78">
        <f>G47</f>
        <v>-33.9</v>
      </c>
      <c r="H46" s="142">
        <v>0</v>
      </c>
      <c r="I46" s="144">
        <f t="shared" si="0"/>
        <v>1</v>
      </c>
      <c r="J46" s="89">
        <f>G46/Всего_доходов_2003</f>
        <v>1</v>
      </c>
      <c r="K46" s="88">
        <f>G46/D46</f>
        <v>1</v>
      </c>
      <c r="L46" s="116">
        <f>L47</f>
        <v>2740.3</v>
      </c>
      <c r="M46" s="26"/>
    </row>
    <row r="47" spans="1:12" s="29" customFormat="1" ht="42" customHeight="1">
      <c r="A47" s="205" t="s">
        <v>143</v>
      </c>
      <c r="B47" s="206" t="s">
        <v>75</v>
      </c>
      <c r="C47" s="193">
        <v>0</v>
      </c>
      <c r="D47" s="207">
        <v>-33.9</v>
      </c>
      <c r="E47" s="207">
        <v>-33.9</v>
      </c>
      <c r="F47" s="207">
        <v>-2774.2</v>
      </c>
      <c r="G47" s="207">
        <v>-33.9</v>
      </c>
      <c r="H47" s="140">
        <v>0</v>
      </c>
      <c r="I47" s="144">
        <f t="shared" si="0"/>
        <v>1</v>
      </c>
      <c r="J47" s="109">
        <f>G47/Всего_доходов_2003</f>
        <v>1</v>
      </c>
      <c r="K47" s="88">
        <f>G47/D47</f>
        <v>1</v>
      </c>
      <c r="L47" s="208">
        <f>G47-F47</f>
        <v>2740.3</v>
      </c>
    </row>
    <row r="48" spans="1:12" s="14" customFormat="1" ht="13.5">
      <c r="A48" s="94"/>
      <c r="B48" s="189" t="s">
        <v>6</v>
      </c>
      <c r="C48" s="211">
        <f>C6+C36</f>
        <v>517340.8</v>
      </c>
      <c r="D48" s="212">
        <f>D6+D36</f>
        <v>616111.7</v>
      </c>
      <c r="E48" s="212">
        <f>E6+E36</f>
        <v>412291.9</v>
      </c>
      <c r="F48" s="212">
        <f>F6+F36</f>
        <v>400145.6</v>
      </c>
      <c r="G48" s="212">
        <f>G6+G36</f>
        <v>416043.4</v>
      </c>
      <c r="H48" s="213">
        <v>1</v>
      </c>
      <c r="I48" s="213">
        <f t="shared" si="0"/>
        <v>1.009</v>
      </c>
      <c r="J48" s="214">
        <f>G48-D48</f>
        <v>-200068.3</v>
      </c>
      <c r="K48" s="215">
        <f>G48/D48</f>
        <v>0.675</v>
      </c>
      <c r="L48" s="212">
        <f>L36+L6</f>
        <v>15897.8</v>
      </c>
    </row>
    <row r="49" spans="1:12" ht="16.5">
      <c r="A49" s="19" t="s">
        <v>10</v>
      </c>
      <c r="B49" s="160" t="s">
        <v>7</v>
      </c>
      <c r="C49" s="5"/>
      <c r="D49" s="32"/>
      <c r="E49" s="8"/>
      <c r="F49" s="8"/>
      <c r="G49" s="8"/>
      <c r="H49" s="79"/>
      <c r="I49" s="79"/>
      <c r="J49" s="80"/>
      <c r="K49" s="79"/>
      <c r="L49" s="8"/>
    </row>
    <row r="50" spans="1:12" s="29" customFormat="1" ht="13.5">
      <c r="A50" s="85" t="s">
        <v>21</v>
      </c>
      <c r="B50" s="86" t="s">
        <v>25</v>
      </c>
      <c r="C50" s="87">
        <f>C51+C52+C53+C56+C59+C60+C61</f>
        <v>83857.5</v>
      </c>
      <c r="D50" s="87">
        <f>D51+D52+D53+D56+D59+D60+D61</f>
        <v>85733.3</v>
      </c>
      <c r="E50" s="87">
        <f>E51+E52+E53+E56+E59+E60+E61</f>
        <v>58951.8</v>
      </c>
      <c r="F50" s="87">
        <f>F51+F52+F53+F56+F59+F60+F61</f>
        <v>59120.8</v>
      </c>
      <c r="G50" s="87">
        <f>G51+G52+G53+G56+G59+G60+G61</f>
        <v>58869.8</v>
      </c>
      <c r="H50" s="88">
        <f>G50/G141</f>
        <v>0.135</v>
      </c>
      <c r="I50" s="144">
        <f>IF(E50=0,"0,0%",G50/E50)</f>
        <v>0.999</v>
      </c>
      <c r="J50" s="89">
        <f>G50-D50</f>
        <v>-26863.5</v>
      </c>
      <c r="K50" s="88">
        <f>G50/D50</f>
        <v>0.687</v>
      </c>
      <c r="L50" s="90">
        <f>G50-F50</f>
        <v>-251</v>
      </c>
    </row>
    <row r="51" spans="1:12" ht="40.5">
      <c r="A51" s="18" t="s">
        <v>53</v>
      </c>
      <c r="B51" s="11" t="s">
        <v>63</v>
      </c>
      <c r="C51" s="122">
        <v>1596.5</v>
      </c>
      <c r="D51" s="33">
        <v>2065.6</v>
      </c>
      <c r="E51" s="8">
        <v>1642.2</v>
      </c>
      <c r="F51" s="8">
        <v>1089.6</v>
      </c>
      <c r="G51" s="8">
        <v>1642.1</v>
      </c>
      <c r="H51" s="99">
        <f>G51/$G$141</f>
        <v>0.004</v>
      </c>
      <c r="I51" s="144">
        <f>IF(E51=0,"0,0%",G51/E51)</f>
        <v>1</v>
      </c>
      <c r="J51" s="100">
        <f aca="true" t="shared" si="3" ref="J51:J118">G51-D51</f>
        <v>-423.5</v>
      </c>
      <c r="K51" s="99">
        <f aca="true" t="shared" si="4" ref="K51:K118">G51/D51</f>
        <v>0.795</v>
      </c>
      <c r="L51" s="132">
        <f>G51-F51</f>
        <v>552.5</v>
      </c>
    </row>
    <row r="52" spans="1:12" ht="54">
      <c r="A52" s="18" t="s">
        <v>54</v>
      </c>
      <c r="B52" s="11" t="s">
        <v>144</v>
      </c>
      <c r="C52" s="122">
        <v>6998.5</v>
      </c>
      <c r="D52" s="33">
        <v>10151.3</v>
      </c>
      <c r="E52" s="8">
        <v>5475.5</v>
      </c>
      <c r="F52" s="8">
        <v>4984.5</v>
      </c>
      <c r="G52" s="8">
        <v>5462.7</v>
      </c>
      <c r="H52" s="99">
        <f>G52/$G$141</f>
        <v>0.013</v>
      </c>
      <c r="I52" s="144">
        <f>IF(E52=0,"0,0%",G52/E52)</f>
        <v>0.998</v>
      </c>
      <c r="J52" s="100">
        <f t="shared" si="3"/>
        <v>-4688.6</v>
      </c>
      <c r="K52" s="99">
        <f t="shared" si="4"/>
        <v>0.538</v>
      </c>
      <c r="L52" s="132">
        <f>G52-F52</f>
        <v>478.2</v>
      </c>
    </row>
    <row r="53" spans="1:12" ht="54">
      <c r="A53" s="18" t="s">
        <v>189</v>
      </c>
      <c r="B53" s="11" t="s">
        <v>145</v>
      </c>
      <c r="C53" s="122">
        <v>43010.5</v>
      </c>
      <c r="D53" s="33">
        <v>39496.5</v>
      </c>
      <c r="E53" s="8">
        <v>28328.4</v>
      </c>
      <c r="F53" s="8">
        <f>28749.3+1181.8</f>
        <v>29931.1</v>
      </c>
      <c r="G53" s="8">
        <v>28311.6</v>
      </c>
      <c r="H53" s="99">
        <f>G53/$G$141</f>
        <v>0.065</v>
      </c>
      <c r="I53" s="144">
        <f>IF(E53=0,"0,0%",G53/E53)</f>
        <v>0.999</v>
      </c>
      <c r="J53" s="100">
        <f t="shared" si="3"/>
        <v>-11184.9</v>
      </c>
      <c r="K53" s="99">
        <f t="shared" si="4"/>
        <v>0.717</v>
      </c>
      <c r="L53" s="132">
        <f>G53-F53</f>
        <v>-1619.5</v>
      </c>
    </row>
    <row r="54" spans="1:12" ht="13.5">
      <c r="A54" s="18"/>
      <c r="B54" s="11" t="s">
        <v>27</v>
      </c>
      <c r="C54" s="122"/>
      <c r="D54" s="33"/>
      <c r="E54" s="8"/>
      <c r="F54" s="8"/>
      <c r="G54" s="8"/>
      <c r="H54" s="99"/>
      <c r="I54" s="99"/>
      <c r="J54" s="100"/>
      <c r="K54" s="99"/>
      <c r="L54" s="98"/>
    </row>
    <row r="55" spans="1:12" s="50" customFormat="1" ht="81">
      <c r="A55" s="18"/>
      <c r="B55" s="42" t="s">
        <v>209</v>
      </c>
      <c r="C55" s="162">
        <v>1488.5</v>
      </c>
      <c r="D55" s="43">
        <v>3105.8</v>
      </c>
      <c r="E55" s="43">
        <v>2174.6</v>
      </c>
      <c r="F55" s="43">
        <v>1181.8</v>
      </c>
      <c r="G55" s="43">
        <v>2174.6</v>
      </c>
      <c r="H55" s="108">
        <f>G55/$G$141</f>
        <v>0.005</v>
      </c>
      <c r="I55" s="144">
        <f>IF(E55=0,"0,0%",G55/E55)</f>
        <v>1</v>
      </c>
      <c r="J55" s="109">
        <f>G55-D55</f>
        <v>-931.2</v>
      </c>
      <c r="K55" s="108">
        <f>G55/D55</f>
        <v>0.7</v>
      </c>
      <c r="L55" s="114">
        <f>G55-F55</f>
        <v>992.8</v>
      </c>
    </row>
    <row r="56" spans="1:12" ht="40.5">
      <c r="A56" s="18" t="s">
        <v>65</v>
      </c>
      <c r="B56" s="11" t="s">
        <v>146</v>
      </c>
      <c r="C56" s="122">
        <v>5833.2</v>
      </c>
      <c r="D56" s="33">
        <v>5833.2</v>
      </c>
      <c r="E56" s="8">
        <v>3675.9</v>
      </c>
      <c r="F56" s="8">
        <v>4016.8</v>
      </c>
      <c r="G56" s="8">
        <v>3662.8</v>
      </c>
      <c r="H56" s="99">
        <f>G56/$G$141</f>
        <v>0.008</v>
      </c>
      <c r="I56" s="144">
        <f>IF(E56=0,"0,0%",G56/E56)</f>
        <v>0.996</v>
      </c>
      <c r="J56" s="100">
        <f t="shared" si="3"/>
        <v>-2170.4</v>
      </c>
      <c r="K56" s="99">
        <f t="shared" si="4"/>
        <v>0.628</v>
      </c>
      <c r="L56" s="98">
        <f aca="true" t="shared" si="5" ref="L56:L118">G56-F56</f>
        <v>-354</v>
      </c>
    </row>
    <row r="57" spans="1:12" ht="13.5">
      <c r="A57" s="18"/>
      <c r="B57" s="11" t="s">
        <v>27</v>
      </c>
      <c r="C57" s="122"/>
      <c r="D57" s="33"/>
      <c r="E57" s="8"/>
      <c r="F57" s="8"/>
      <c r="G57" s="8"/>
      <c r="H57" s="99"/>
      <c r="I57" s="99"/>
      <c r="J57" s="100"/>
      <c r="K57" s="99"/>
      <c r="L57" s="98"/>
    </row>
    <row r="58" spans="1:12" s="50" customFormat="1" ht="54">
      <c r="A58" s="18"/>
      <c r="B58" s="42" t="s">
        <v>176</v>
      </c>
      <c r="C58" s="162">
        <v>0</v>
      </c>
      <c r="D58" s="43">
        <v>862.2</v>
      </c>
      <c r="E58" s="43">
        <v>377</v>
      </c>
      <c r="F58" s="43">
        <v>0</v>
      </c>
      <c r="G58" s="43">
        <v>377</v>
      </c>
      <c r="H58" s="108">
        <f>G58/$G$141</f>
        <v>0.001</v>
      </c>
      <c r="I58" s="144">
        <f>IF(E58=0,"0,0%",G58/E58)</f>
        <v>1</v>
      </c>
      <c r="J58" s="109">
        <f>G58-D58</f>
        <v>-485.2</v>
      </c>
      <c r="K58" s="108">
        <f>G58/D58</f>
        <v>0.437</v>
      </c>
      <c r="L58" s="114">
        <f>G58-F58</f>
        <v>377</v>
      </c>
    </row>
    <row r="59" spans="1:12" ht="27">
      <c r="A59" s="18" t="s">
        <v>153</v>
      </c>
      <c r="B59" s="11" t="s">
        <v>154</v>
      </c>
      <c r="C59" s="122">
        <v>4384.5</v>
      </c>
      <c r="D59" s="33">
        <v>4669.5</v>
      </c>
      <c r="E59" s="8">
        <v>4648</v>
      </c>
      <c r="F59" s="8">
        <v>0</v>
      </c>
      <c r="G59" s="8">
        <v>4648</v>
      </c>
      <c r="H59" s="99">
        <f>G59/$G$141</f>
        <v>0.011</v>
      </c>
      <c r="I59" s="144">
        <f>IF(E59=0,"0,0%",G59/E59)</f>
        <v>1</v>
      </c>
      <c r="J59" s="100">
        <f t="shared" si="3"/>
        <v>-21.5</v>
      </c>
      <c r="K59" s="99">
        <v>0</v>
      </c>
      <c r="L59" s="98">
        <f t="shared" si="5"/>
        <v>4648</v>
      </c>
    </row>
    <row r="60" spans="1:12" ht="13.5">
      <c r="A60" s="18" t="s">
        <v>84</v>
      </c>
      <c r="B60" s="11" t="s">
        <v>23</v>
      </c>
      <c r="C60" s="122">
        <v>1930</v>
      </c>
      <c r="D60" s="33">
        <v>1998.5</v>
      </c>
      <c r="E60" s="8">
        <v>0</v>
      </c>
      <c r="F60" s="8">
        <v>0</v>
      </c>
      <c r="G60" s="8">
        <v>0</v>
      </c>
      <c r="H60" s="99">
        <f>G60/$G$141</f>
        <v>0</v>
      </c>
      <c r="I60" s="144" t="str">
        <f>IF(E60=0,"0,0%",G60/E60)</f>
        <v>0,0%</v>
      </c>
      <c r="J60" s="100">
        <f t="shared" si="3"/>
        <v>-1998.5</v>
      </c>
      <c r="K60" s="99">
        <f t="shared" si="4"/>
        <v>0</v>
      </c>
      <c r="L60" s="98">
        <f t="shared" si="5"/>
        <v>0</v>
      </c>
    </row>
    <row r="61" spans="1:12" s="1" customFormat="1" ht="13.5">
      <c r="A61" s="18" t="s">
        <v>88</v>
      </c>
      <c r="B61" s="11" t="s">
        <v>147</v>
      </c>
      <c r="C61" s="122">
        <v>20104.3</v>
      </c>
      <c r="D61" s="33">
        <v>21518.7</v>
      </c>
      <c r="E61" s="8">
        <v>15181.8</v>
      </c>
      <c r="F61" s="8">
        <v>19098.8</v>
      </c>
      <c r="G61" s="8">
        <v>15142.6</v>
      </c>
      <c r="H61" s="99">
        <f>G61/$G$141</f>
        <v>0.035</v>
      </c>
      <c r="I61" s="144">
        <f>IF(E61=0,"0,0%",G61/E61)</f>
        <v>0.997</v>
      </c>
      <c r="J61" s="100">
        <f t="shared" si="3"/>
        <v>-6376.1</v>
      </c>
      <c r="K61" s="99">
        <f t="shared" si="4"/>
        <v>0.704</v>
      </c>
      <c r="L61" s="98">
        <f t="shared" si="5"/>
        <v>-3956.2</v>
      </c>
    </row>
    <row r="62" spans="1:12" s="1" customFormat="1" ht="13.5">
      <c r="A62" s="18"/>
      <c r="B62" s="9" t="s">
        <v>27</v>
      </c>
      <c r="C62" s="122"/>
      <c r="D62" s="33"/>
      <c r="E62" s="8"/>
      <c r="F62" s="8"/>
      <c r="G62" s="8"/>
      <c r="H62" s="99"/>
      <c r="I62" s="99"/>
      <c r="J62" s="100"/>
      <c r="K62" s="99"/>
      <c r="L62" s="98"/>
    </row>
    <row r="63" spans="1:12" s="1" customFormat="1" ht="54">
      <c r="A63" s="18"/>
      <c r="B63" s="10" t="s">
        <v>120</v>
      </c>
      <c r="C63" s="122">
        <v>14434.9</v>
      </c>
      <c r="D63" s="33">
        <v>12935.1</v>
      </c>
      <c r="E63" s="8">
        <v>8594.2</v>
      </c>
      <c r="F63" s="8">
        <v>8390.4</v>
      </c>
      <c r="G63" s="8">
        <v>8588.3</v>
      </c>
      <c r="H63" s="99">
        <f>G63/$G$141</f>
        <v>0.02</v>
      </c>
      <c r="I63" s="144">
        <f>IF(E63=0,"0,0%",G63/E63)</f>
        <v>0.999</v>
      </c>
      <c r="J63" s="100">
        <f t="shared" si="3"/>
        <v>-4346.8</v>
      </c>
      <c r="K63" s="99">
        <f t="shared" si="4"/>
        <v>0.664</v>
      </c>
      <c r="L63" s="98">
        <f t="shared" si="5"/>
        <v>197.9</v>
      </c>
    </row>
    <row r="64" spans="1:12" s="1" customFormat="1" ht="27">
      <c r="A64" s="18"/>
      <c r="B64" s="10" t="s">
        <v>121</v>
      </c>
      <c r="C64" s="122">
        <v>3677.7</v>
      </c>
      <c r="D64" s="33">
        <v>3677.7</v>
      </c>
      <c r="E64" s="8">
        <v>3081.4</v>
      </c>
      <c r="F64" s="8">
        <v>8174.4</v>
      </c>
      <c r="G64" s="8">
        <v>3058.2</v>
      </c>
      <c r="H64" s="99">
        <f>G64/$G$141</f>
        <v>0.007</v>
      </c>
      <c r="I64" s="144">
        <f>IF(E64=0,"0,0%",G64/E64)</f>
        <v>0.992</v>
      </c>
      <c r="J64" s="100">
        <f t="shared" si="3"/>
        <v>-619.5</v>
      </c>
      <c r="K64" s="99">
        <f t="shared" si="4"/>
        <v>0.832</v>
      </c>
      <c r="L64" s="98">
        <f t="shared" si="5"/>
        <v>-5116.2</v>
      </c>
    </row>
    <row r="65" spans="1:12" s="29" customFormat="1" ht="27">
      <c r="A65" s="85" t="s">
        <v>108</v>
      </c>
      <c r="B65" s="91" t="s">
        <v>109</v>
      </c>
      <c r="C65" s="87">
        <f>C66</f>
        <v>7545</v>
      </c>
      <c r="D65" s="87">
        <f>D66</f>
        <v>7581.2</v>
      </c>
      <c r="E65" s="87">
        <f>E66</f>
        <v>5287</v>
      </c>
      <c r="F65" s="184">
        <f>F66</f>
        <v>4863.2</v>
      </c>
      <c r="G65" s="87">
        <f>G66</f>
        <v>5286.3</v>
      </c>
      <c r="H65" s="88">
        <f>G65/$G$141</f>
        <v>0.012</v>
      </c>
      <c r="I65" s="144">
        <f>IF(E65=0,"0,0%",G65/E65)</f>
        <v>1</v>
      </c>
      <c r="J65" s="89">
        <f t="shared" si="3"/>
        <v>-2294.9</v>
      </c>
      <c r="K65" s="88">
        <f t="shared" si="4"/>
        <v>0.697</v>
      </c>
      <c r="L65" s="90">
        <f t="shared" si="5"/>
        <v>423.1</v>
      </c>
    </row>
    <row r="66" spans="1:12" s="50" customFormat="1" ht="40.5">
      <c r="A66" s="18" t="s">
        <v>190</v>
      </c>
      <c r="B66" s="21" t="s">
        <v>134</v>
      </c>
      <c r="C66" s="163">
        <v>7545</v>
      </c>
      <c r="D66" s="24">
        <v>7581.2</v>
      </c>
      <c r="E66" s="24">
        <v>5287</v>
      </c>
      <c r="F66" s="24">
        <f>363.2+F68</f>
        <v>4863.2</v>
      </c>
      <c r="G66" s="24">
        <v>5286.3</v>
      </c>
      <c r="H66" s="99">
        <f>G66/$G$141</f>
        <v>0.012</v>
      </c>
      <c r="I66" s="144">
        <f>IF(E66=0,"0,0%",G66/E66)</f>
        <v>1</v>
      </c>
      <c r="J66" s="100">
        <f t="shared" si="3"/>
        <v>-2294.9</v>
      </c>
      <c r="K66" s="99">
        <f t="shared" si="4"/>
        <v>0.697</v>
      </c>
      <c r="L66" s="98">
        <f t="shared" si="5"/>
        <v>423.1</v>
      </c>
    </row>
    <row r="67" spans="1:12" s="50" customFormat="1" ht="13.5">
      <c r="A67" s="18"/>
      <c r="B67" s="9" t="s">
        <v>27</v>
      </c>
      <c r="C67" s="163"/>
      <c r="D67" s="24"/>
      <c r="E67" s="43"/>
      <c r="F67" s="43"/>
      <c r="G67" s="43"/>
      <c r="H67" s="99"/>
      <c r="I67" s="99"/>
      <c r="J67" s="100"/>
      <c r="K67" s="99"/>
      <c r="L67" s="98"/>
    </row>
    <row r="68" spans="1:12" s="50" customFormat="1" ht="54">
      <c r="A68" s="18"/>
      <c r="B68" s="42" t="s">
        <v>213</v>
      </c>
      <c r="C68" s="162">
        <v>7185.2</v>
      </c>
      <c r="D68" s="43">
        <v>7185.2</v>
      </c>
      <c r="E68" s="43">
        <v>5040.4</v>
      </c>
      <c r="F68" s="43">
        <v>4500</v>
      </c>
      <c r="G68" s="43">
        <v>5040.3</v>
      </c>
      <c r="H68" s="108">
        <f>G68/$G$141</f>
        <v>0.012</v>
      </c>
      <c r="I68" s="144">
        <f>IF(E68=0,"0,0%",G68/E68)</f>
        <v>1</v>
      </c>
      <c r="J68" s="109">
        <f>G68-D68</f>
        <v>-2144.9</v>
      </c>
      <c r="K68" s="108">
        <f>G68/D68</f>
        <v>0.701</v>
      </c>
      <c r="L68" s="114">
        <f>G68-F68</f>
        <v>540.3</v>
      </c>
    </row>
    <row r="69" spans="1:12" s="50" customFormat="1" ht="13.5" hidden="1">
      <c r="A69" s="128"/>
      <c r="B69" s="169" t="s">
        <v>161</v>
      </c>
      <c r="C69" s="136"/>
      <c r="D69" s="136"/>
      <c r="E69" s="137"/>
      <c r="F69" s="43"/>
      <c r="G69" s="137"/>
      <c r="H69" s="99"/>
      <c r="I69" s="99"/>
      <c r="J69" s="100"/>
      <c r="K69" s="99"/>
      <c r="L69" s="98"/>
    </row>
    <row r="70" spans="1:12" s="50" customFormat="1" ht="13.5" hidden="1">
      <c r="A70" s="128"/>
      <c r="B70" s="138" t="s">
        <v>133</v>
      </c>
      <c r="C70" s="136">
        <v>149.4</v>
      </c>
      <c r="D70" s="136">
        <v>0</v>
      </c>
      <c r="E70" s="137">
        <v>0</v>
      </c>
      <c r="F70" s="43">
        <v>0</v>
      </c>
      <c r="G70" s="137">
        <v>0</v>
      </c>
      <c r="H70" s="99">
        <f>G70/$G$141</f>
        <v>0</v>
      </c>
      <c r="I70" s="144" t="str">
        <f>IF(E70=0,"0,0%",G70/E70)</f>
        <v>0,0%</v>
      </c>
      <c r="J70" s="100">
        <f>G70-D70</f>
        <v>0</v>
      </c>
      <c r="K70" s="99" t="e">
        <f>G70/D70</f>
        <v>#DIV/0!</v>
      </c>
      <c r="L70" s="98">
        <f>G70-F70</f>
        <v>0</v>
      </c>
    </row>
    <row r="71" spans="1:12" s="29" customFormat="1" ht="13.5">
      <c r="A71" s="85" t="s">
        <v>24</v>
      </c>
      <c r="B71" s="86" t="s">
        <v>26</v>
      </c>
      <c r="C71" s="87">
        <f>C72+C76+C84</f>
        <v>210624.3</v>
      </c>
      <c r="D71" s="87">
        <f>D72+D76+D84</f>
        <v>280635.4</v>
      </c>
      <c r="E71" s="87">
        <f>E72+E76+E84</f>
        <v>242923.4</v>
      </c>
      <c r="F71" s="184">
        <f>F72+F76+F84</f>
        <v>175984.8</v>
      </c>
      <c r="G71" s="87">
        <f>G72+G76+G84</f>
        <v>242915.3</v>
      </c>
      <c r="H71" s="88">
        <f>G71/$G$141</f>
        <v>0.557</v>
      </c>
      <c r="I71" s="144">
        <f>IF(E71=0,"0,0%",G71/E71)</f>
        <v>1</v>
      </c>
      <c r="J71" s="89">
        <f t="shared" si="3"/>
        <v>-37720.1</v>
      </c>
      <c r="K71" s="88">
        <f t="shared" si="4"/>
        <v>0.866</v>
      </c>
      <c r="L71" s="90">
        <f t="shared" si="5"/>
        <v>66930.5</v>
      </c>
    </row>
    <row r="72" spans="1:12" ht="13.5">
      <c r="A72" s="4" t="s">
        <v>55</v>
      </c>
      <c r="B72" s="10" t="s">
        <v>110</v>
      </c>
      <c r="C72" s="121">
        <v>26000</v>
      </c>
      <c r="D72" s="8">
        <v>24699.9</v>
      </c>
      <c r="E72" s="8">
        <v>20808.9</v>
      </c>
      <c r="F72" s="8">
        <v>14880.3</v>
      </c>
      <c r="G72" s="8">
        <v>20808.3</v>
      </c>
      <c r="H72" s="99">
        <f>G72/$G$141</f>
        <v>0.048</v>
      </c>
      <c r="I72" s="144">
        <f>IF(E72=0,"0,0%",G72/E72)</f>
        <v>1</v>
      </c>
      <c r="J72" s="100">
        <f t="shared" si="3"/>
        <v>-3891.6</v>
      </c>
      <c r="K72" s="99">
        <f t="shared" si="4"/>
        <v>0.842</v>
      </c>
      <c r="L72" s="98">
        <f t="shared" si="5"/>
        <v>5928</v>
      </c>
    </row>
    <row r="73" spans="1:12" ht="13.5">
      <c r="A73" s="4"/>
      <c r="B73" s="9" t="s">
        <v>27</v>
      </c>
      <c r="C73" s="121"/>
      <c r="D73" s="8"/>
      <c r="E73" s="8"/>
      <c r="F73" s="8"/>
      <c r="G73" s="23"/>
      <c r="H73" s="99"/>
      <c r="I73" s="99"/>
      <c r="J73" s="100"/>
      <c r="K73" s="99"/>
      <c r="L73" s="98"/>
    </row>
    <row r="74" spans="1:12" ht="54">
      <c r="A74" s="4"/>
      <c r="B74" s="10" t="s">
        <v>137</v>
      </c>
      <c r="C74" s="121">
        <v>25000</v>
      </c>
      <c r="D74" s="8">
        <v>7590.4</v>
      </c>
      <c r="E74" s="8">
        <v>7590.4</v>
      </c>
      <c r="F74" s="8">
        <v>14880.3</v>
      </c>
      <c r="G74" s="8">
        <v>7590.4</v>
      </c>
      <c r="H74" s="99">
        <f>G74/$G$141</f>
        <v>0.017</v>
      </c>
      <c r="I74" s="144">
        <f>IF(E74=0,"0,0%",G74/E74)</f>
        <v>1</v>
      </c>
      <c r="J74" s="100">
        <f t="shared" si="3"/>
        <v>0</v>
      </c>
      <c r="K74" s="99">
        <f t="shared" si="4"/>
        <v>1</v>
      </c>
      <c r="L74" s="98">
        <f t="shared" si="5"/>
        <v>-7289.9</v>
      </c>
    </row>
    <row r="75" spans="1:12" s="50" customFormat="1" ht="67.5">
      <c r="A75" s="18"/>
      <c r="B75" s="10" t="s">
        <v>210</v>
      </c>
      <c r="C75" s="162">
        <v>0</v>
      </c>
      <c r="D75" s="43">
        <v>17109.5</v>
      </c>
      <c r="E75" s="43">
        <v>13218.5</v>
      </c>
      <c r="F75" s="43">
        <v>0</v>
      </c>
      <c r="G75" s="43">
        <v>13217.9</v>
      </c>
      <c r="H75" s="108">
        <f>G75/$G$141</f>
        <v>0.03</v>
      </c>
      <c r="I75" s="144">
        <f>IF(E75=0,"0,0%",G75/E75)</f>
        <v>1</v>
      </c>
      <c r="J75" s="109">
        <f>G75-D75</f>
        <v>-3891.6</v>
      </c>
      <c r="K75" s="108">
        <f>G75/D75</f>
        <v>0.773</v>
      </c>
      <c r="L75" s="114">
        <f>G75-F75</f>
        <v>13217.9</v>
      </c>
    </row>
    <row r="76" spans="1:12" s="1" customFormat="1" ht="13.5">
      <c r="A76" s="4" t="s">
        <v>111</v>
      </c>
      <c r="B76" s="10" t="s">
        <v>112</v>
      </c>
      <c r="C76" s="121">
        <v>182134.9</v>
      </c>
      <c r="D76" s="8">
        <v>253446.1</v>
      </c>
      <c r="E76" s="8">
        <v>220886.7</v>
      </c>
      <c r="F76" s="8">
        <v>159631.7</v>
      </c>
      <c r="G76" s="8">
        <v>220879.4</v>
      </c>
      <c r="H76" s="99">
        <f>G76/$G$141</f>
        <v>0.506</v>
      </c>
      <c r="I76" s="144">
        <f>IF(E76=0,"0,0%",G76/E76)</f>
        <v>1</v>
      </c>
      <c r="J76" s="100">
        <f t="shared" si="3"/>
        <v>-32566.7</v>
      </c>
      <c r="K76" s="99">
        <f t="shared" si="4"/>
        <v>0.872</v>
      </c>
      <c r="L76" s="98">
        <f t="shared" si="5"/>
        <v>61247.7</v>
      </c>
    </row>
    <row r="77" spans="1:12" s="1" customFormat="1" ht="13.5">
      <c r="A77" s="4"/>
      <c r="B77" s="9" t="s">
        <v>27</v>
      </c>
      <c r="C77" s="121"/>
      <c r="D77" s="8"/>
      <c r="E77" s="8"/>
      <c r="F77" s="46"/>
      <c r="G77" s="46"/>
      <c r="H77" s="99"/>
      <c r="I77" s="99"/>
      <c r="J77" s="100"/>
      <c r="K77" s="99"/>
      <c r="L77" s="98"/>
    </row>
    <row r="78" spans="1:12" s="1" customFormat="1" ht="27">
      <c r="A78" s="4"/>
      <c r="B78" s="10" t="s">
        <v>113</v>
      </c>
      <c r="C78" s="121">
        <v>111625.3</v>
      </c>
      <c r="D78" s="8">
        <v>70163.7</v>
      </c>
      <c r="E78" s="8">
        <v>67563</v>
      </c>
      <c r="F78" s="8">
        <v>122121.8</v>
      </c>
      <c r="G78" s="8">
        <v>67563</v>
      </c>
      <c r="H78" s="99">
        <f aca="true" t="shared" si="6" ref="H78:H84">G78/$G$141</f>
        <v>0.155</v>
      </c>
      <c r="I78" s="144">
        <f aca="true" t="shared" si="7" ref="I78:I84">IF(E78=0,"0,0%",G78/E78)</f>
        <v>1</v>
      </c>
      <c r="J78" s="100">
        <f t="shared" si="3"/>
        <v>-2600.7</v>
      </c>
      <c r="K78" s="99">
        <f t="shared" si="4"/>
        <v>0.963</v>
      </c>
      <c r="L78" s="98">
        <f t="shared" si="5"/>
        <v>-54558.8</v>
      </c>
    </row>
    <row r="79" spans="1:12" s="1" customFormat="1" ht="27">
      <c r="A79" s="4"/>
      <c r="B79" s="10" t="s">
        <v>114</v>
      </c>
      <c r="C79" s="121">
        <v>8280.6</v>
      </c>
      <c r="D79" s="8">
        <v>4323.4</v>
      </c>
      <c r="E79" s="8">
        <v>4323.4</v>
      </c>
      <c r="F79" s="8">
        <v>3900</v>
      </c>
      <c r="G79" s="8">
        <v>4323.4</v>
      </c>
      <c r="H79" s="99">
        <f t="shared" si="6"/>
        <v>0.01</v>
      </c>
      <c r="I79" s="144">
        <f t="shared" si="7"/>
        <v>1</v>
      </c>
      <c r="J79" s="100">
        <f t="shared" si="3"/>
        <v>0</v>
      </c>
      <c r="K79" s="99">
        <f t="shared" si="4"/>
        <v>1</v>
      </c>
      <c r="L79" s="98">
        <f t="shared" si="5"/>
        <v>423.4</v>
      </c>
    </row>
    <row r="80" spans="1:12" s="1" customFormat="1" ht="67.5">
      <c r="A80" s="4"/>
      <c r="B80" s="10" t="s">
        <v>155</v>
      </c>
      <c r="C80" s="121">
        <v>24055.6</v>
      </c>
      <c r="D80" s="8">
        <v>24055.6</v>
      </c>
      <c r="E80" s="8">
        <v>24055.6</v>
      </c>
      <c r="F80" s="8">
        <v>1875.6</v>
      </c>
      <c r="G80" s="8">
        <v>24055.6</v>
      </c>
      <c r="H80" s="99">
        <f t="shared" si="6"/>
        <v>0.055</v>
      </c>
      <c r="I80" s="144">
        <f t="shared" si="7"/>
        <v>1</v>
      </c>
      <c r="J80" s="100">
        <f t="shared" si="3"/>
        <v>0</v>
      </c>
      <c r="K80" s="99">
        <f t="shared" si="4"/>
        <v>1</v>
      </c>
      <c r="L80" s="98">
        <f t="shared" si="5"/>
        <v>22180</v>
      </c>
    </row>
    <row r="81" spans="1:12" s="1" customFormat="1" ht="54">
      <c r="A81" s="4"/>
      <c r="B81" s="10" t="s">
        <v>156</v>
      </c>
      <c r="C81" s="121">
        <v>26405</v>
      </c>
      <c r="D81" s="8">
        <v>26405</v>
      </c>
      <c r="E81" s="8">
        <v>26405</v>
      </c>
      <c r="F81" s="8">
        <v>22907.6</v>
      </c>
      <c r="G81" s="8">
        <v>26405</v>
      </c>
      <c r="H81" s="99">
        <f t="shared" si="6"/>
        <v>0.061</v>
      </c>
      <c r="I81" s="144">
        <f t="shared" si="7"/>
        <v>1</v>
      </c>
      <c r="J81" s="100">
        <f t="shared" si="3"/>
        <v>0</v>
      </c>
      <c r="K81" s="99">
        <f t="shared" si="4"/>
        <v>1</v>
      </c>
      <c r="L81" s="98">
        <f t="shared" si="5"/>
        <v>3497.4</v>
      </c>
    </row>
    <row r="82" spans="1:12" s="1" customFormat="1" ht="40.5">
      <c r="A82" s="4"/>
      <c r="B82" s="10" t="s">
        <v>115</v>
      </c>
      <c r="C82" s="121">
        <v>5270</v>
      </c>
      <c r="D82" s="8">
        <v>0</v>
      </c>
      <c r="E82" s="8">
        <v>0</v>
      </c>
      <c r="F82" s="8">
        <v>0</v>
      </c>
      <c r="G82" s="8">
        <v>0</v>
      </c>
      <c r="H82" s="99">
        <f t="shared" si="6"/>
        <v>0</v>
      </c>
      <c r="I82" s="144" t="str">
        <f t="shared" si="7"/>
        <v>0,0%</v>
      </c>
      <c r="J82" s="100">
        <f t="shared" si="3"/>
        <v>0</v>
      </c>
      <c r="K82" s="99">
        <v>0</v>
      </c>
      <c r="L82" s="98">
        <f t="shared" si="5"/>
        <v>0</v>
      </c>
    </row>
    <row r="83" spans="1:12" s="50" customFormat="1" ht="67.5">
      <c r="A83" s="18"/>
      <c r="B83" s="42" t="s">
        <v>211</v>
      </c>
      <c r="C83" s="162">
        <v>0</v>
      </c>
      <c r="D83" s="43">
        <v>167191.6</v>
      </c>
      <c r="E83" s="43">
        <v>137232.8</v>
      </c>
      <c r="F83" s="43">
        <v>0</v>
      </c>
      <c r="G83" s="43">
        <v>137232.6</v>
      </c>
      <c r="H83" s="108">
        <f t="shared" si="6"/>
        <v>0.315</v>
      </c>
      <c r="I83" s="144">
        <f>IF(E83=0,"0,0%",G83/E83)</f>
        <v>1</v>
      </c>
      <c r="J83" s="109">
        <f>G83-D83</f>
        <v>-29959</v>
      </c>
      <c r="K83" s="108">
        <f>G83/D83</f>
        <v>0.821</v>
      </c>
      <c r="L83" s="114">
        <f>G83-F83</f>
        <v>137232.6</v>
      </c>
    </row>
    <row r="84" spans="1:12" s="1" customFormat="1" ht="27">
      <c r="A84" s="4" t="s">
        <v>191</v>
      </c>
      <c r="B84" s="10" t="s">
        <v>171</v>
      </c>
      <c r="C84" s="121">
        <v>2489.4</v>
      </c>
      <c r="D84" s="8">
        <v>2489.4</v>
      </c>
      <c r="E84" s="8">
        <v>1227.8</v>
      </c>
      <c r="F84" s="8">
        <f>F86</f>
        <v>1472.8</v>
      </c>
      <c r="G84" s="8">
        <v>1227.6</v>
      </c>
      <c r="H84" s="99">
        <f t="shared" si="6"/>
        <v>0.003</v>
      </c>
      <c r="I84" s="144">
        <f t="shared" si="7"/>
        <v>1</v>
      </c>
      <c r="J84" s="100">
        <f t="shared" si="3"/>
        <v>-1261.8</v>
      </c>
      <c r="K84" s="99">
        <f t="shared" si="4"/>
        <v>0.493</v>
      </c>
      <c r="L84" s="98">
        <f>G84-F84</f>
        <v>-245.2</v>
      </c>
    </row>
    <row r="85" spans="1:12" s="1" customFormat="1" ht="13.5">
      <c r="A85" s="4"/>
      <c r="B85" s="9" t="s">
        <v>27</v>
      </c>
      <c r="C85" s="121"/>
      <c r="D85" s="8"/>
      <c r="E85" s="8"/>
      <c r="F85" s="8"/>
      <c r="G85" s="8"/>
      <c r="H85" s="99"/>
      <c r="I85" s="99"/>
      <c r="J85" s="100"/>
      <c r="K85" s="99"/>
      <c r="L85" s="98"/>
    </row>
    <row r="86" spans="1:12" s="50" customFormat="1" ht="69" customHeight="1">
      <c r="A86" s="18"/>
      <c r="B86" s="42" t="s">
        <v>203</v>
      </c>
      <c r="C86" s="162">
        <v>1639.4</v>
      </c>
      <c r="D86" s="43">
        <v>2489.4</v>
      </c>
      <c r="E86" s="43">
        <v>1227.8</v>
      </c>
      <c r="F86" s="43">
        <v>1472.8</v>
      </c>
      <c r="G86" s="43">
        <v>1227.6</v>
      </c>
      <c r="H86" s="108">
        <f>G86/$G$141</f>
        <v>0.003</v>
      </c>
      <c r="I86" s="144">
        <f>IF(E86=0,"0,0%",G86/E86)</f>
        <v>1</v>
      </c>
      <c r="J86" s="109">
        <f>G86-D86</f>
        <v>-1261.8</v>
      </c>
      <c r="K86" s="108">
        <f>G86/D86</f>
        <v>0.493</v>
      </c>
      <c r="L86" s="114">
        <f>G86-F86</f>
        <v>-245.2</v>
      </c>
    </row>
    <row r="87" spans="1:12" s="1" customFormat="1" ht="13.5">
      <c r="A87" s="139"/>
      <c r="B87" s="169" t="s">
        <v>162</v>
      </c>
      <c r="C87" s="130"/>
      <c r="D87" s="130"/>
      <c r="E87" s="130"/>
      <c r="F87" s="130"/>
      <c r="G87" s="130"/>
      <c r="H87" s="99"/>
      <c r="I87" s="99"/>
      <c r="J87" s="100"/>
      <c r="K87" s="99"/>
      <c r="L87" s="98"/>
    </row>
    <row r="88" spans="1:12" s="1" customFormat="1" ht="13.5">
      <c r="A88" s="139"/>
      <c r="B88" s="138" t="s">
        <v>133</v>
      </c>
      <c r="C88" s="130">
        <v>7348.4</v>
      </c>
      <c r="D88" s="130">
        <v>11767.5</v>
      </c>
      <c r="E88" s="130">
        <v>11767.5</v>
      </c>
      <c r="F88" s="130">
        <v>7476.7</v>
      </c>
      <c r="G88" s="130">
        <v>11760.4</v>
      </c>
      <c r="H88" s="99">
        <f>G88/$G$141</f>
        <v>0.027</v>
      </c>
      <c r="I88" s="144">
        <f>IF(E88=0,"0,0%",G88/E88)</f>
        <v>0.999</v>
      </c>
      <c r="J88" s="100">
        <f t="shared" si="3"/>
        <v>-7.1</v>
      </c>
      <c r="K88" s="99">
        <f t="shared" si="4"/>
        <v>0.999</v>
      </c>
      <c r="L88" s="98">
        <f t="shared" si="5"/>
        <v>4283.7</v>
      </c>
    </row>
    <row r="89" spans="1:12" s="29" customFormat="1" ht="13.5">
      <c r="A89" s="85" t="s">
        <v>22</v>
      </c>
      <c r="B89" s="92" t="s">
        <v>8</v>
      </c>
      <c r="C89" s="90">
        <f>C90+C97+C104+C94</f>
        <v>114362.8</v>
      </c>
      <c r="D89" s="90">
        <f>D90+D97+D104+D94</f>
        <v>224938.6</v>
      </c>
      <c r="E89" s="90">
        <f>E90+E97+E104+E94</f>
        <v>83767.8</v>
      </c>
      <c r="F89" s="90">
        <f>F90+F97+F104+F94</f>
        <v>116625.9</v>
      </c>
      <c r="G89" s="90">
        <f>G90+G97+G104+G94</f>
        <v>83767.7</v>
      </c>
      <c r="H89" s="88">
        <f>G89/$G$141</f>
        <v>0.192</v>
      </c>
      <c r="I89" s="144">
        <f>IF(E89=0,"0,0%",G89/E89)</f>
        <v>1</v>
      </c>
      <c r="J89" s="89">
        <f t="shared" si="3"/>
        <v>-141170.9</v>
      </c>
      <c r="K89" s="88">
        <f t="shared" si="4"/>
        <v>0.372</v>
      </c>
      <c r="L89" s="90">
        <f t="shared" si="5"/>
        <v>-32858.2</v>
      </c>
    </row>
    <row r="90" spans="1:12" ht="13.5">
      <c r="A90" s="18" t="s">
        <v>66</v>
      </c>
      <c r="B90" s="41" t="s">
        <v>83</v>
      </c>
      <c r="C90" s="162">
        <v>18410.4</v>
      </c>
      <c r="D90" s="43">
        <v>125410.2</v>
      </c>
      <c r="E90" s="43">
        <v>3862.8</v>
      </c>
      <c r="F90" s="43">
        <v>50113</v>
      </c>
      <c r="G90" s="43">
        <v>3862.7</v>
      </c>
      <c r="H90" s="99">
        <f>G90/$G$141</f>
        <v>0.009</v>
      </c>
      <c r="I90" s="144">
        <f>IF(E90=0,"0,0%",G90/E90)</f>
        <v>1</v>
      </c>
      <c r="J90" s="100">
        <f t="shared" si="3"/>
        <v>-121547.5</v>
      </c>
      <c r="K90" s="99">
        <f t="shared" si="4"/>
        <v>0.031</v>
      </c>
      <c r="L90" s="98">
        <f t="shared" si="5"/>
        <v>-46250.3</v>
      </c>
    </row>
    <row r="91" spans="1:12" ht="13.5">
      <c r="A91" s="18"/>
      <c r="B91" s="41" t="s">
        <v>27</v>
      </c>
      <c r="C91" s="164"/>
      <c r="D91" s="6"/>
      <c r="E91" s="6"/>
      <c r="F91" s="6"/>
      <c r="G91" s="6"/>
      <c r="H91" s="99"/>
      <c r="I91" s="99"/>
      <c r="J91" s="100"/>
      <c r="K91" s="99"/>
      <c r="L91" s="98"/>
    </row>
    <row r="92" spans="1:12" ht="40.5">
      <c r="A92" s="18"/>
      <c r="B92" s="42" t="s">
        <v>85</v>
      </c>
      <c r="C92" s="162">
        <v>1822.6</v>
      </c>
      <c r="D92" s="43">
        <v>892.9</v>
      </c>
      <c r="E92" s="43">
        <v>817.9</v>
      </c>
      <c r="F92" s="43">
        <v>1214.3</v>
      </c>
      <c r="G92" s="43">
        <v>817.9</v>
      </c>
      <c r="H92" s="99">
        <f>G92/$G$141</f>
        <v>0.002</v>
      </c>
      <c r="I92" s="144">
        <f>IF(E92=0,"0,0%",G92/E92)</f>
        <v>1</v>
      </c>
      <c r="J92" s="100">
        <f t="shared" si="3"/>
        <v>-75</v>
      </c>
      <c r="K92" s="99">
        <f t="shared" si="4"/>
        <v>0.916</v>
      </c>
      <c r="L92" s="98">
        <f t="shared" si="5"/>
        <v>-396.4</v>
      </c>
    </row>
    <row r="93" spans="1:12" ht="85.5" customHeight="1">
      <c r="A93" s="18"/>
      <c r="B93" s="83" t="s">
        <v>212</v>
      </c>
      <c r="C93" s="162">
        <v>0</v>
      </c>
      <c r="D93" s="43">
        <v>121951.3</v>
      </c>
      <c r="E93" s="43">
        <v>479</v>
      </c>
      <c r="F93" s="43">
        <v>0</v>
      </c>
      <c r="G93" s="43">
        <v>479</v>
      </c>
      <c r="H93" s="99">
        <f>G93/$G$141</f>
        <v>0.001</v>
      </c>
      <c r="I93" s="144">
        <f>IF(E93=0,"0,0%",G93/E93)</f>
        <v>1</v>
      </c>
      <c r="J93" s="100">
        <f>G93-D93</f>
        <v>-121472.3</v>
      </c>
      <c r="K93" s="99">
        <f>G93/D93</f>
        <v>0.004</v>
      </c>
      <c r="L93" s="98">
        <f>G93-F93</f>
        <v>479</v>
      </c>
    </row>
    <row r="94" spans="1:12" ht="13.5">
      <c r="A94" s="18" t="s">
        <v>202</v>
      </c>
      <c r="B94" s="11" t="s">
        <v>201</v>
      </c>
      <c r="C94" s="122">
        <v>0</v>
      </c>
      <c r="D94" s="33">
        <v>99.5</v>
      </c>
      <c r="E94" s="33">
        <v>0</v>
      </c>
      <c r="F94" s="33">
        <v>0</v>
      </c>
      <c r="G94" s="33">
        <v>0</v>
      </c>
      <c r="H94" s="99">
        <f>G94/$G$141</f>
        <v>0</v>
      </c>
      <c r="I94" s="144" t="str">
        <f>IF(E94=0,"0,0%",G94/E94)</f>
        <v>0,0%</v>
      </c>
      <c r="J94" s="100">
        <f>G94-D94</f>
        <v>-99.5</v>
      </c>
      <c r="K94" s="99">
        <f>G94/D94</f>
        <v>0</v>
      </c>
      <c r="L94" s="98">
        <f>G94-F94</f>
        <v>0</v>
      </c>
    </row>
    <row r="95" spans="1:12" ht="13.5">
      <c r="A95" s="18"/>
      <c r="B95" s="11" t="s">
        <v>27</v>
      </c>
      <c r="C95" s="165"/>
      <c r="D95" s="33"/>
      <c r="E95" s="8"/>
      <c r="F95" s="8"/>
      <c r="G95" s="8"/>
      <c r="H95" s="99"/>
      <c r="I95" s="99"/>
      <c r="J95" s="100"/>
      <c r="K95" s="99"/>
      <c r="L95" s="98"/>
    </row>
    <row r="96" spans="1:12" ht="40.5">
      <c r="A96" s="18"/>
      <c r="B96" s="42" t="s">
        <v>199</v>
      </c>
      <c r="C96" s="122">
        <v>0</v>
      </c>
      <c r="D96" s="33">
        <v>99.5</v>
      </c>
      <c r="E96" s="8">
        <v>0</v>
      </c>
      <c r="F96" s="8">
        <v>0</v>
      </c>
      <c r="G96" s="8">
        <v>0</v>
      </c>
      <c r="H96" s="99">
        <f>G96/$G$141</f>
        <v>0</v>
      </c>
      <c r="I96" s="144" t="str">
        <f>IF(E96=0,"0,0%",G96/E96)</f>
        <v>0,0%</v>
      </c>
      <c r="J96" s="100">
        <f>G96-D96</f>
        <v>-99.5</v>
      </c>
      <c r="K96" s="99">
        <f>G96/D96</f>
        <v>0</v>
      </c>
      <c r="L96" s="98">
        <f>G96-F96</f>
        <v>0</v>
      </c>
    </row>
    <row r="97" spans="1:12" ht="13.5">
      <c r="A97" s="18" t="s">
        <v>49</v>
      </c>
      <c r="B97" s="11" t="s">
        <v>50</v>
      </c>
      <c r="C97" s="122">
        <v>81768.6</v>
      </c>
      <c r="D97" s="33">
        <v>86183.4</v>
      </c>
      <c r="E97" s="33">
        <v>68198.1</v>
      </c>
      <c r="F97" s="33">
        <v>58519.1</v>
      </c>
      <c r="G97" s="33">
        <v>68198.1</v>
      </c>
      <c r="H97" s="99">
        <f>G97/$G$141</f>
        <v>0.156</v>
      </c>
      <c r="I97" s="144">
        <f>IF(E97=0,"0,0%",G97/E97)</f>
        <v>1</v>
      </c>
      <c r="J97" s="100">
        <f t="shared" si="3"/>
        <v>-17985.3</v>
      </c>
      <c r="K97" s="99">
        <f t="shared" si="4"/>
        <v>0.791</v>
      </c>
      <c r="L97" s="98">
        <f t="shared" si="5"/>
        <v>9679</v>
      </c>
    </row>
    <row r="98" spans="1:12" ht="13.5">
      <c r="A98" s="18"/>
      <c r="B98" s="11" t="s">
        <v>27</v>
      </c>
      <c r="C98" s="165"/>
      <c r="D98" s="33"/>
      <c r="E98" s="8"/>
      <c r="F98" s="8"/>
      <c r="G98" s="8"/>
      <c r="H98" s="99"/>
      <c r="I98" s="99"/>
      <c r="J98" s="100"/>
      <c r="K98" s="99"/>
      <c r="L98" s="98"/>
    </row>
    <row r="99" spans="1:12" ht="13.5">
      <c r="A99" s="18"/>
      <c r="B99" s="10" t="s">
        <v>116</v>
      </c>
      <c r="C99" s="122">
        <v>46063.1</v>
      </c>
      <c r="D99" s="33">
        <v>17896.9</v>
      </c>
      <c r="E99" s="8">
        <v>17896.9</v>
      </c>
      <c r="F99" s="8">
        <v>30642.1</v>
      </c>
      <c r="G99" s="8">
        <v>17896.9</v>
      </c>
      <c r="H99" s="99">
        <f aca="true" t="shared" si="8" ref="H99:H105">G99/$G$141</f>
        <v>0.041</v>
      </c>
      <c r="I99" s="144">
        <f aca="true" t="shared" si="9" ref="I99:I105">IF(E99=0,"0,0%",G99/E99)</f>
        <v>1</v>
      </c>
      <c r="J99" s="100">
        <f t="shared" si="3"/>
        <v>0</v>
      </c>
      <c r="K99" s="99">
        <f t="shared" si="4"/>
        <v>1</v>
      </c>
      <c r="L99" s="98">
        <f t="shared" si="5"/>
        <v>-12745.2</v>
      </c>
    </row>
    <row r="100" spans="1:12" ht="13.5">
      <c r="A100" s="18"/>
      <c r="B100" s="10" t="s">
        <v>117</v>
      </c>
      <c r="C100" s="122">
        <v>17110.4</v>
      </c>
      <c r="D100" s="33">
        <v>6184.3</v>
      </c>
      <c r="E100" s="8">
        <v>6184.3</v>
      </c>
      <c r="F100" s="8">
        <v>16990.2</v>
      </c>
      <c r="G100" s="8">
        <v>6184.3</v>
      </c>
      <c r="H100" s="99">
        <f t="shared" si="8"/>
        <v>0.014</v>
      </c>
      <c r="I100" s="144">
        <f t="shared" si="9"/>
        <v>1</v>
      </c>
      <c r="J100" s="100">
        <f t="shared" si="3"/>
        <v>0</v>
      </c>
      <c r="K100" s="99">
        <f t="shared" si="4"/>
        <v>1</v>
      </c>
      <c r="L100" s="98">
        <f t="shared" si="5"/>
        <v>-10805.9</v>
      </c>
    </row>
    <row r="101" spans="1:12" ht="13.5">
      <c r="A101" s="18"/>
      <c r="B101" s="10" t="s">
        <v>118</v>
      </c>
      <c r="C101" s="122">
        <v>8079.7</v>
      </c>
      <c r="D101" s="33">
        <v>2300</v>
      </c>
      <c r="E101" s="8">
        <v>2300</v>
      </c>
      <c r="F101" s="8">
        <v>4550</v>
      </c>
      <c r="G101" s="8">
        <v>2300</v>
      </c>
      <c r="H101" s="99">
        <f t="shared" si="8"/>
        <v>0.005</v>
      </c>
      <c r="I101" s="144">
        <f t="shared" si="9"/>
        <v>1</v>
      </c>
      <c r="J101" s="100">
        <f t="shared" si="3"/>
        <v>0</v>
      </c>
      <c r="K101" s="99">
        <f t="shared" si="4"/>
        <v>1</v>
      </c>
      <c r="L101" s="98">
        <f t="shared" si="5"/>
        <v>-2250</v>
      </c>
    </row>
    <row r="102" spans="1:12" ht="27">
      <c r="A102" s="18"/>
      <c r="B102" s="10" t="s">
        <v>119</v>
      </c>
      <c r="C102" s="122">
        <v>4989.2</v>
      </c>
      <c r="D102" s="33">
        <v>2434.6</v>
      </c>
      <c r="E102" s="8">
        <v>2434.6</v>
      </c>
      <c r="F102" s="8">
        <v>6066.8</v>
      </c>
      <c r="G102" s="8">
        <v>2434.6</v>
      </c>
      <c r="H102" s="99">
        <f t="shared" si="8"/>
        <v>0.006</v>
      </c>
      <c r="I102" s="144">
        <f t="shared" si="9"/>
        <v>1</v>
      </c>
      <c r="J102" s="100">
        <f t="shared" si="3"/>
        <v>0</v>
      </c>
      <c r="K102" s="99">
        <f t="shared" si="4"/>
        <v>1</v>
      </c>
      <c r="L102" s="98">
        <f t="shared" si="5"/>
        <v>-3632.2</v>
      </c>
    </row>
    <row r="103" spans="1:12" ht="121.5">
      <c r="A103" s="18"/>
      <c r="B103" s="216" t="s">
        <v>214</v>
      </c>
      <c r="C103" s="122">
        <v>0</v>
      </c>
      <c r="D103" s="33">
        <v>57148.3</v>
      </c>
      <c r="E103" s="8">
        <v>39163.1</v>
      </c>
      <c r="F103" s="8">
        <v>0</v>
      </c>
      <c r="G103" s="8">
        <v>39163</v>
      </c>
      <c r="H103" s="99">
        <f t="shared" si="8"/>
        <v>0.09</v>
      </c>
      <c r="I103" s="144">
        <f t="shared" si="9"/>
        <v>1</v>
      </c>
      <c r="J103" s="100">
        <f>G103-D103</f>
        <v>-17985.3</v>
      </c>
      <c r="K103" s="99">
        <f>G103/D103</f>
        <v>0.685</v>
      </c>
      <c r="L103" s="98">
        <f>G103-F103</f>
        <v>39163</v>
      </c>
    </row>
    <row r="104" spans="1:12" s="1" customFormat="1" ht="27">
      <c r="A104" s="18" t="s">
        <v>67</v>
      </c>
      <c r="B104" s="10" t="s">
        <v>200</v>
      </c>
      <c r="C104" s="122">
        <v>14183.8</v>
      </c>
      <c r="D104" s="33">
        <v>13245.5</v>
      </c>
      <c r="E104" s="8">
        <v>11706.9</v>
      </c>
      <c r="F104" s="8">
        <v>7993.8</v>
      </c>
      <c r="G104" s="8">
        <v>11706.9</v>
      </c>
      <c r="H104" s="99">
        <f t="shared" si="8"/>
        <v>0.027</v>
      </c>
      <c r="I104" s="144">
        <f t="shared" si="9"/>
        <v>1</v>
      </c>
      <c r="J104" s="100">
        <f t="shared" si="3"/>
        <v>-1538.6</v>
      </c>
      <c r="K104" s="99">
        <f t="shared" si="4"/>
        <v>0.884</v>
      </c>
      <c r="L104" s="98">
        <f t="shared" si="5"/>
        <v>3713.1</v>
      </c>
    </row>
    <row r="105" spans="1:12" s="1" customFormat="1" ht="67.5">
      <c r="A105" s="18"/>
      <c r="B105" s="216" t="s">
        <v>215</v>
      </c>
      <c r="C105" s="122">
        <v>0</v>
      </c>
      <c r="D105" s="33">
        <v>6350.3</v>
      </c>
      <c r="E105" s="8">
        <v>4811.7</v>
      </c>
      <c r="F105" s="8">
        <v>0</v>
      </c>
      <c r="G105" s="8">
        <v>4811.7</v>
      </c>
      <c r="H105" s="99">
        <f t="shared" si="8"/>
        <v>0.011</v>
      </c>
      <c r="I105" s="144">
        <f t="shared" si="9"/>
        <v>1</v>
      </c>
      <c r="J105" s="100">
        <f>G105-D105</f>
        <v>-1538.6</v>
      </c>
      <c r="K105" s="99">
        <f>G105/D105</f>
        <v>0.758</v>
      </c>
      <c r="L105" s="98">
        <f>G105-F105</f>
        <v>4811.7</v>
      </c>
    </row>
    <row r="106" spans="1:12" ht="13.5">
      <c r="A106" s="128"/>
      <c r="B106" s="129" t="s">
        <v>163</v>
      </c>
      <c r="C106" s="129"/>
      <c r="D106" s="130"/>
      <c r="E106" s="130"/>
      <c r="F106" s="130"/>
      <c r="G106" s="130"/>
      <c r="H106" s="99"/>
      <c r="I106" s="99"/>
      <c r="J106" s="100"/>
      <c r="K106" s="99"/>
      <c r="L106" s="98"/>
    </row>
    <row r="107" spans="1:12" ht="27" hidden="1">
      <c r="A107" s="119"/>
      <c r="B107" s="120" t="s">
        <v>122</v>
      </c>
      <c r="C107" s="121"/>
      <c r="D107" s="121"/>
      <c r="E107" s="121"/>
      <c r="F107" s="130"/>
      <c r="G107" s="121"/>
      <c r="H107" s="99">
        <f aca="true" t="shared" si="10" ref="H107:H113">G107/$G$141</f>
        <v>0</v>
      </c>
      <c r="I107" s="144" t="str">
        <f aca="true" t="shared" si="11" ref="I107:I113">IF(E107=0,"0,0%",G107/E107)</f>
        <v>0,0%</v>
      </c>
      <c r="J107" s="100">
        <f>G107-D107</f>
        <v>0</v>
      </c>
      <c r="K107" s="99" t="e">
        <f>G107/D107</f>
        <v>#DIV/0!</v>
      </c>
      <c r="L107" s="98">
        <f>G107-F107</f>
        <v>0</v>
      </c>
    </row>
    <row r="108" spans="1:12" s="173" customFormat="1" ht="13.5">
      <c r="A108" s="175"/>
      <c r="B108" s="176" t="s">
        <v>177</v>
      </c>
      <c r="C108" s="177">
        <v>0</v>
      </c>
      <c r="D108" s="177">
        <v>185549.4</v>
      </c>
      <c r="E108" s="177">
        <v>44453.8</v>
      </c>
      <c r="F108" s="177">
        <v>0</v>
      </c>
      <c r="G108" s="177">
        <v>44453.7</v>
      </c>
      <c r="H108" s="170">
        <f>G108/$G$141</f>
        <v>0.102</v>
      </c>
      <c r="I108" s="174">
        <f>IF(E108=0,"0,0%",G108/E108)</f>
        <v>1</v>
      </c>
      <c r="J108" s="171">
        <f>G108-D108</f>
        <v>-141095.7</v>
      </c>
      <c r="K108" s="170">
        <f>G108/D108</f>
        <v>0.24</v>
      </c>
      <c r="L108" s="172">
        <f>G108-F108</f>
        <v>44453.7</v>
      </c>
    </row>
    <row r="109" spans="1:12" ht="13.5">
      <c r="A109" s="119"/>
      <c r="B109" s="123" t="s">
        <v>133</v>
      </c>
      <c r="C109" s="122">
        <v>22114</v>
      </c>
      <c r="D109" s="122">
        <v>2489.4</v>
      </c>
      <c r="E109" s="122">
        <v>2489.4</v>
      </c>
      <c r="F109" s="135">
        <v>1146.2</v>
      </c>
      <c r="G109" s="122">
        <v>2489.4</v>
      </c>
      <c r="H109" s="99">
        <f t="shared" si="10"/>
        <v>0.006</v>
      </c>
      <c r="I109" s="144">
        <f t="shared" si="11"/>
        <v>1</v>
      </c>
      <c r="J109" s="100">
        <f>G109-D109</f>
        <v>0</v>
      </c>
      <c r="K109" s="99">
        <f>G109/D109</f>
        <v>1</v>
      </c>
      <c r="L109" s="98">
        <f>G109-F109</f>
        <v>1343.2</v>
      </c>
    </row>
    <row r="110" spans="1:12" s="29" customFormat="1" ht="13.5">
      <c r="A110" s="85" t="s">
        <v>136</v>
      </c>
      <c r="B110" s="93" t="s">
        <v>135</v>
      </c>
      <c r="C110" s="87">
        <f>C111</f>
        <v>18302</v>
      </c>
      <c r="D110" s="87">
        <f>D111</f>
        <v>17684.4</v>
      </c>
      <c r="E110" s="87">
        <f>E111</f>
        <v>9302.7</v>
      </c>
      <c r="F110" s="87">
        <f>F111</f>
        <v>9776.9</v>
      </c>
      <c r="G110" s="87">
        <f>G111</f>
        <v>9286.1</v>
      </c>
      <c r="H110" s="88">
        <f t="shared" si="10"/>
        <v>0.021</v>
      </c>
      <c r="I110" s="144">
        <f t="shared" si="11"/>
        <v>0.998</v>
      </c>
      <c r="J110" s="89">
        <f t="shared" si="3"/>
        <v>-8398.3</v>
      </c>
      <c r="K110" s="88">
        <f t="shared" si="4"/>
        <v>0.525</v>
      </c>
      <c r="L110" s="90">
        <f t="shared" si="5"/>
        <v>-490.8</v>
      </c>
    </row>
    <row r="111" spans="1:12" s="50" customFormat="1" ht="13.5">
      <c r="A111" s="125" t="s">
        <v>52</v>
      </c>
      <c r="B111" s="126" t="s">
        <v>62</v>
      </c>
      <c r="C111" s="114">
        <f>C112+C113</f>
        <v>18302</v>
      </c>
      <c r="D111" s="114">
        <f>D112+D113</f>
        <v>17684.4</v>
      </c>
      <c r="E111" s="114">
        <f>E112+E113</f>
        <v>9302.7</v>
      </c>
      <c r="F111" s="186">
        <v>9776.9</v>
      </c>
      <c r="G111" s="114">
        <f>G112+G113</f>
        <v>9286.1</v>
      </c>
      <c r="H111" s="99">
        <f t="shared" si="10"/>
        <v>0.021</v>
      </c>
      <c r="I111" s="144">
        <f t="shared" si="11"/>
        <v>0.998</v>
      </c>
      <c r="J111" s="100">
        <f t="shared" si="3"/>
        <v>-8398.3</v>
      </c>
      <c r="K111" s="99">
        <f t="shared" si="4"/>
        <v>0.525</v>
      </c>
      <c r="L111" s="98">
        <f t="shared" si="5"/>
        <v>-490.8</v>
      </c>
    </row>
    <row r="112" spans="1:12" ht="54">
      <c r="A112" s="19"/>
      <c r="B112" s="10" t="s">
        <v>120</v>
      </c>
      <c r="C112" s="121">
        <v>10022.9</v>
      </c>
      <c r="D112" s="8">
        <v>10022.9</v>
      </c>
      <c r="E112" s="8">
        <v>6411.7</v>
      </c>
      <c r="F112" s="8">
        <v>6167.7</v>
      </c>
      <c r="G112" s="8">
        <v>6405.3</v>
      </c>
      <c r="H112" s="99">
        <f t="shared" si="10"/>
        <v>0.015</v>
      </c>
      <c r="I112" s="144">
        <f t="shared" si="11"/>
        <v>0.999</v>
      </c>
      <c r="J112" s="100">
        <f t="shared" si="3"/>
        <v>-3617.6</v>
      </c>
      <c r="K112" s="99">
        <f t="shared" si="4"/>
        <v>0.639</v>
      </c>
      <c r="L112" s="98">
        <f t="shared" si="5"/>
        <v>237.6</v>
      </c>
    </row>
    <row r="113" spans="1:12" ht="27">
      <c r="A113" s="19"/>
      <c r="B113" s="10" t="s">
        <v>121</v>
      </c>
      <c r="C113" s="121">
        <v>8279.1</v>
      </c>
      <c r="D113" s="8">
        <v>7661.5</v>
      </c>
      <c r="E113" s="8">
        <v>2891</v>
      </c>
      <c r="F113" s="8">
        <v>3609.2</v>
      </c>
      <c r="G113" s="8">
        <v>2880.8</v>
      </c>
      <c r="H113" s="99">
        <f t="shared" si="10"/>
        <v>0.007</v>
      </c>
      <c r="I113" s="144">
        <f t="shared" si="11"/>
        <v>0.996</v>
      </c>
      <c r="J113" s="100">
        <f t="shared" si="3"/>
        <v>-4780.7</v>
      </c>
      <c r="K113" s="99">
        <f t="shared" si="4"/>
        <v>0.376</v>
      </c>
      <c r="L113" s="98">
        <f t="shared" si="5"/>
        <v>-728.4</v>
      </c>
    </row>
    <row r="114" spans="1:12" ht="13.5">
      <c r="A114" s="128"/>
      <c r="B114" s="129" t="s">
        <v>164</v>
      </c>
      <c r="C114" s="129"/>
      <c r="D114" s="130"/>
      <c r="E114" s="130"/>
      <c r="F114" s="130"/>
      <c r="G114" s="130"/>
      <c r="H114" s="99"/>
      <c r="I114" s="99"/>
      <c r="J114" s="100"/>
      <c r="K114" s="99"/>
      <c r="L114" s="98"/>
    </row>
    <row r="115" spans="1:12" ht="27">
      <c r="A115" s="119"/>
      <c r="B115" s="120" t="s">
        <v>122</v>
      </c>
      <c r="C115" s="121">
        <v>7781.9</v>
      </c>
      <c r="D115" s="121">
        <v>7781.9</v>
      </c>
      <c r="E115" s="121">
        <v>5771</v>
      </c>
      <c r="F115" s="130">
        <v>5347.6</v>
      </c>
      <c r="G115" s="121">
        <v>5771</v>
      </c>
      <c r="H115" s="99">
        <f aca="true" t="shared" si="12" ref="H115:H121">G115/$G$141</f>
        <v>0.013</v>
      </c>
      <c r="I115" s="144">
        <f aca="true" t="shared" si="13" ref="I115:I121">IF(E115=0,"0,0%",G115/E115)</f>
        <v>1</v>
      </c>
      <c r="J115" s="100">
        <f>G115-D115</f>
        <v>-2010.9</v>
      </c>
      <c r="K115" s="99">
        <f>G115/D115</f>
        <v>0.742</v>
      </c>
      <c r="L115" s="98">
        <f>G115-F115</f>
        <v>423.4</v>
      </c>
    </row>
    <row r="116" spans="1:12" ht="13.5">
      <c r="A116" s="119"/>
      <c r="B116" s="120" t="s">
        <v>126</v>
      </c>
      <c r="C116" s="121">
        <v>619.3</v>
      </c>
      <c r="D116" s="121">
        <v>619.3</v>
      </c>
      <c r="E116" s="121">
        <v>395.7</v>
      </c>
      <c r="F116" s="130">
        <v>475.1</v>
      </c>
      <c r="G116" s="121">
        <v>389.7</v>
      </c>
      <c r="H116" s="99">
        <f t="shared" si="12"/>
        <v>0.001</v>
      </c>
      <c r="I116" s="144">
        <f t="shared" si="13"/>
        <v>0.985</v>
      </c>
      <c r="J116" s="100">
        <f>G116-D116</f>
        <v>-229.6</v>
      </c>
      <c r="K116" s="99">
        <f>G116/D116</f>
        <v>0.629</v>
      </c>
      <c r="L116" s="98">
        <f>G116-F116</f>
        <v>-85.4</v>
      </c>
    </row>
    <row r="117" spans="1:12" ht="13.5">
      <c r="A117" s="119"/>
      <c r="B117" s="123" t="s">
        <v>133</v>
      </c>
      <c r="C117" s="122">
        <v>7979.1</v>
      </c>
      <c r="D117" s="122">
        <v>7361.5</v>
      </c>
      <c r="E117" s="122">
        <v>2758.3</v>
      </c>
      <c r="F117" s="135">
        <v>3542.4</v>
      </c>
      <c r="G117" s="122">
        <v>2748.1</v>
      </c>
      <c r="H117" s="99">
        <f t="shared" si="12"/>
        <v>0.006</v>
      </c>
      <c r="I117" s="144">
        <f t="shared" si="13"/>
        <v>0.996</v>
      </c>
      <c r="J117" s="100">
        <f>G117-D117</f>
        <v>-4613.4</v>
      </c>
      <c r="K117" s="99">
        <f>G117/D117</f>
        <v>0.373</v>
      </c>
      <c r="L117" s="98">
        <f>G117-F117</f>
        <v>-794.3</v>
      </c>
    </row>
    <row r="118" spans="1:12" s="29" customFormat="1" ht="13.5">
      <c r="A118" s="85" t="s">
        <v>70</v>
      </c>
      <c r="B118" s="91" t="s">
        <v>123</v>
      </c>
      <c r="C118" s="87">
        <f>C119+C123</f>
        <v>64891.2</v>
      </c>
      <c r="D118" s="87">
        <f>D119+D123</f>
        <v>42282.2</v>
      </c>
      <c r="E118" s="87">
        <f>E119+E123</f>
        <v>29239.8</v>
      </c>
      <c r="F118" s="184">
        <f>F119+F123</f>
        <v>26014.2</v>
      </c>
      <c r="G118" s="87">
        <f>G119+G123</f>
        <v>29130.4</v>
      </c>
      <c r="H118" s="88">
        <f t="shared" si="12"/>
        <v>0.067</v>
      </c>
      <c r="I118" s="144">
        <f t="shared" si="13"/>
        <v>0.996</v>
      </c>
      <c r="J118" s="89">
        <f t="shared" si="3"/>
        <v>-13151.8</v>
      </c>
      <c r="K118" s="88">
        <f t="shared" si="4"/>
        <v>0.689</v>
      </c>
      <c r="L118" s="90">
        <f t="shared" si="5"/>
        <v>3116.2</v>
      </c>
    </row>
    <row r="119" spans="1:12" s="50" customFormat="1" ht="13.5">
      <c r="A119" s="125" t="s">
        <v>72</v>
      </c>
      <c r="B119" s="126" t="s">
        <v>71</v>
      </c>
      <c r="C119" s="127">
        <f>C120+C121</f>
        <v>58069.8</v>
      </c>
      <c r="D119" s="127">
        <f>D120+D121</f>
        <v>35460.8</v>
      </c>
      <c r="E119" s="127">
        <f>E120+E121</f>
        <v>23895.2</v>
      </c>
      <c r="F119" s="185">
        <f>F120+F121</f>
        <v>21287.2</v>
      </c>
      <c r="G119" s="127">
        <f>G120+G121</f>
        <v>23805.1</v>
      </c>
      <c r="H119" s="99">
        <f t="shared" si="12"/>
        <v>0.055</v>
      </c>
      <c r="I119" s="144">
        <f t="shared" si="13"/>
        <v>0.996</v>
      </c>
      <c r="J119" s="100">
        <f aca="true" t="shared" si="14" ref="J119:J140">G119-D119</f>
        <v>-11655.7</v>
      </c>
      <c r="K119" s="99">
        <f aca="true" t="shared" si="15" ref="K119:K140">G119/D119</f>
        <v>0.671</v>
      </c>
      <c r="L119" s="98">
        <f aca="true" t="shared" si="16" ref="L119:L140">G119-F119</f>
        <v>2517.9</v>
      </c>
    </row>
    <row r="120" spans="1:12" ht="54">
      <c r="A120" s="19"/>
      <c r="B120" s="10" t="s">
        <v>120</v>
      </c>
      <c r="C120" s="121">
        <v>28895.7</v>
      </c>
      <c r="D120" s="8">
        <v>28895.7</v>
      </c>
      <c r="E120" s="8">
        <v>20469.3</v>
      </c>
      <c r="F120" s="8">
        <v>18033.7</v>
      </c>
      <c r="G120" s="8">
        <v>20457.4</v>
      </c>
      <c r="H120" s="99">
        <f t="shared" si="12"/>
        <v>0.047</v>
      </c>
      <c r="I120" s="144">
        <f t="shared" si="13"/>
        <v>0.999</v>
      </c>
      <c r="J120" s="100">
        <f t="shared" si="14"/>
        <v>-8438.3</v>
      </c>
      <c r="K120" s="99">
        <f t="shared" si="15"/>
        <v>0.708</v>
      </c>
      <c r="L120" s="98">
        <f t="shared" si="16"/>
        <v>2423.7</v>
      </c>
    </row>
    <row r="121" spans="1:12" ht="27">
      <c r="A121" s="19"/>
      <c r="B121" s="10" t="s">
        <v>121</v>
      </c>
      <c r="C121" s="121">
        <v>29174.1</v>
      </c>
      <c r="D121" s="8">
        <v>6565.1</v>
      </c>
      <c r="E121" s="8">
        <v>3425.9</v>
      </c>
      <c r="F121" s="8">
        <v>3253.5</v>
      </c>
      <c r="G121" s="8">
        <v>3347.7</v>
      </c>
      <c r="H121" s="99">
        <f t="shared" si="12"/>
        <v>0.008</v>
      </c>
      <c r="I121" s="144">
        <f t="shared" si="13"/>
        <v>0.977</v>
      </c>
      <c r="J121" s="100">
        <f t="shared" si="14"/>
        <v>-3217.4</v>
      </c>
      <c r="K121" s="99">
        <f t="shared" si="15"/>
        <v>0.51</v>
      </c>
      <c r="L121" s="98">
        <f t="shared" si="16"/>
        <v>94.2</v>
      </c>
    </row>
    <row r="122" spans="1:12" ht="13.5" hidden="1">
      <c r="A122" s="19"/>
      <c r="B122" s="11" t="s">
        <v>124</v>
      </c>
      <c r="C122" s="121"/>
      <c r="D122" s="8"/>
      <c r="E122" s="8"/>
      <c r="F122" s="8"/>
      <c r="G122" s="8"/>
      <c r="H122" s="99"/>
      <c r="I122" s="99"/>
      <c r="J122" s="100"/>
      <c r="K122" s="99"/>
      <c r="L122" s="98"/>
    </row>
    <row r="123" spans="1:12" s="50" customFormat="1" ht="27">
      <c r="A123" s="18" t="s">
        <v>89</v>
      </c>
      <c r="B123" s="21" t="s">
        <v>125</v>
      </c>
      <c r="C123" s="163">
        <v>6821.4</v>
      </c>
      <c r="D123" s="24">
        <v>6821.4</v>
      </c>
      <c r="E123" s="43">
        <v>5344.6</v>
      </c>
      <c r="F123" s="43">
        <v>4727</v>
      </c>
      <c r="G123" s="43">
        <v>5325.3</v>
      </c>
      <c r="H123" s="99">
        <f>G123/$G$141</f>
        <v>0.012</v>
      </c>
      <c r="I123" s="144">
        <f>IF(E123=0,"0,0%",G123/E123)</f>
        <v>0.996</v>
      </c>
      <c r="J123" s="100">
        <f t="shared" si="14"/>
        <v>-1496.1</v>
      </c>
      <c r="K123" s="99">
        <f t="shared" si="15"/>
        <v>0.781</v>
      </c>
      <c r="L123" s="98">
        <f t="shared" si="16"/>
        <v>598.3</v>
      </c>
    </row>
    <row r="124" spans="1:12" ht="13.5">
      <c r="A124" s="128"/>
      <c r="B124" s="129" t="s">
        <v>165</v>
      </c>
      <c r="C124" s="129"/>
      <c r="D124" s="130"/>
      <c r="E124" s="130"/>
      <c r="F124" s="130"/>
      <c r="G124" s="130"/>
      <c r="H124" s="99"/>
      <c r="I124" s="99"/>
      <c r="J124" s="100"/>
      <c r="K124" s="99"/>
      <c r="L124" s="98"/>
    </row>
    <row r="125" spans="1:12" ht="27">
      <c r="A125" s="128"/>
      <c r="B125" s="120" t="s">
        <v>122</v>
      </c>
      <c r="C125" s="121">
        <v>26892.7</v>
      </c>
      <c r="D125" s="121">
        <f>21907.5+5725.2</f>
        <v>27632.7</v>
      </c>
      <c r="E125" s="121">
        <f>16485+4892.3</f>
        <v>21377.3</v>
      </c>
      <c r="F125" s="130">
        <v>18550.3</v>
      </c>
      <c r="G125" s="121">
        <f>16482.3+4892.3</f>
        <v>21374.6</v>
      </c>
      <c r="H125" s="99">
        <f aca="true" t="shared" si="17" ref="H125:H134">G125/$G$141</f>
        <v>0.049</v>
      </c>
      <c r="I125" s="144">
        <f aca="true" t="shared" si="18" ref="I125:I134">IF(E125=0,"0,0%",G125/E125)</f>
        <v>1</v>
      </c>
      <c r="J125" s="100">
        <f>G125-D125</f>
        <v>-6258.1</v>
      </c>
      <c r="K125" s="99">
        <f>G125/D125</f>
        <v>0.774</v>
      </c>
      <c r="L125" s="98">
        <f>G125-F125</f>
        <v>2824.3</v>
      </c>
    </row>
    <row r="126" spans="1:12" ht="13.5">
      <c r="A126" s="119"/>
      <c r="B126" s="120" t="s">
        <v>126</v>
      </c>
      <c r="C126" s="121">
        <v>3805.4</v>
      </c>
      <c r="D126" s="121">
        <v>3805.4</v>
      </c>
      <c r="E126" s="121">
        <f>2239.8+135.5</f>
        <v>2375.3</v>
      </c>
      <c r="F126" s="130">
        <v>2375.7</v>
      </c>
      <c r="G126" s="121">
        <f>2232.6+129.7</f>
        <v>2362.3</v>
      </c>
      <c r="H126" s="99">
        <f t="shared" si="17"/>
        <v>0.005</v>
      </c>
      <c r="I126" s="144">
        <f t="shared" si="18"/>
        <v>0.995</v>
      </c>
      <c r="J126" s="100">
        <f>G126-D126</f>
        <v>-1443.1</v>
      </c>
      <c r="K126" s="99">
        <f>G126/D126</f>
        <v>0.621</v>
      </c>
      <c r="L126" s="98">
        <f>G126-F126</f>
        <v>-13.4</v>
      </c>
    </row>
    <row r="127" spans="1:12" ht="13.5">
      <c r="A127" s="119"/>
      <c r="B127" s="123" t="s">
        <v>133</v>
      </c>
      <c r="C127" s="122">
        <v>8429</v>
      </c>
      <c r="D127" s="122">
        <v>5355</v>
      </c>
      <c r="E127" s="122">
        <v>2645.9</v>
      </c>
      <c r="F127" s="135">
        <v>2801.2</v>
      </c>
      <c r="G127" s="122">
        <v>2578.1</v>
      </c>
      <c r="H127" s="99">
        <f t="shared" si="17"/>
        <v>0.006</v>
      </c>
      <c r="I127" s="144">
        <f t="shared" si="18"/>
        <v>0.974</v>
      </c>
      <c r="J127" s="100">
        <f>G127-D127</f>
        <v>-2776.9</v>
      </c>
      <c r="K127" s="99">
        <f>G127/D127</f>
        <v>0.481</v>
      </c>
      <c r="L127" s="98">
        <f>G127-F127</f>
        <v>-223.1</v>
      </c>
    </row>
    <row r="128" spans="1:12" s="29" customFormat="1" ht="13.5">
      <c r="A128" s="85" t="s">
        <v>127</v>
      </c>
      <c r="B128" s="91" t="s">
        <v>128</v>
      </c>
      <c r="C128" s="87">
        <f>C129+C130</f>
        <v>267.8</v>
      </c>
      <c r="D128" s="87">
        <f>D129+D130</f>
        <v>530.8</v>
      </c>
      <c r="E128" s="87">
        <f>E129+E130</f>
        <v>439.1</v>
      </c>
      <c r="F128" s="184">
        <f>F129+F130</f>
        <v>979</v>
      </c>
      <c r="G128" s="87">
        <f>G129+G130</f>
        <v>434.1</v>
      </c>
      <c r="H128" s="88">
        <f t="shared" si="17"/>
        <v>0.001</v>
      </c>
      <c r="I128" s="144">
        <f t="shared" si="18"/>
        <v>0.989</v>
      </c>
      <c r="J128" s="89">
        <f t="shared" si="14"/>
        <v>-96.7</v>
      </c>
      <c r="K128" s="88">
        <f t="shared" si="15"/>
        <v>0.818</v>
      </c>
      <c r="L128" s="90">
        <f t="shared" si="16"/>
        <v>-544.9</v>
      </c>
    </row>
    <row r="129" spans="1:12" s="50" customFormat="1" ht="13.5">
      <c r="A129" s="18" t="s">
        <v>73</v>
      </c>
      <c r="B129" s="21" t="s">
        <v>74</v>
      </c>
      <c r="C129" s="162">
        <v>267.8</v>
      </c>
      <c r="D129" s="43">
        <v>267.8</v>
      </c>
      <c r="E129" s="43">
        <v>176.1</v>
      </c>
      <c r="F129" s="43">
        <v>187</v>
      </c>
      <c r="G129" s="43">
        <v>176.1</v>
      </c>
      <c r="H129" s="99">
        <f t="shared" si="17"/>
        <v>0</v>
      </c>
      <c r="I129" s="144">
        <f t="shared" si="18"/>
        <v>1</v>
      </c>
      <c r="J129" s="100">
        <f t="shared" si="14"/>
        <v>-91.7</v>
      </c>
      <c r="K129" s="99">
        <f t="shared" si="15"/>
        <v>0.658</v>
      </c>
      <c r="L129" s="98">
        <f t="shared" si="16"/>
        <v>-10.9</v>
      </c>
    </row>
    <row r="130" spans="1:12" s="50" customFormat="1" ht="13.5">
      <c r="A130" s="18" t="s">
        <v>68</v>
      </c>
      <c r="B130" s="21" t="s">
        <v>69</v>
      </c>
      <c r="C130" s="162">
        <v>0</v>
      </c>
      <c r="D130" s="43">
        <v>263</v>
      </c>
      <c r="E130" s="43">
        <v>263</v>
      </c>
      <c r="F130" s="43">
        <v>792</v>
      </c>
      <c r="G130" s="43">
        <v>258</v>
      </c>
      <c r="H130" s="99">
        <f t="shared" si="17"/>
        <v>0.001</v>
      </c>
      <c r="I130" s="144">
        <f t="shared" si="18"/>
        <v>0.981</v>
      </c>
      <c r="J130" s="100">
        <f t="shared" si="14"/>
        <v>-5</v>
      </c>
      <c r="K130" s="99">
        <f t="shared" si="15"/>
        <v>0.981</v>
      </c>
      <c r="L130" s="98">
        <f t="shared" si="16"/>
        <v>-534</v>
      </c>
    </row>
    <row r="131" spans="1:12" s="29" customFormat="1" ht="13.5">
      <c r="A131" s="85" t="s">
        <v>129</v>
      </c>
      <c r="B131" s="91" t="s">
        <v>59</v>
      </c>
      <c r="C131" s="90">
        <f>C132</f>
        <v>5571.6</v>
      </c>
      <c r="D131" s="90">
        <f>D132</f>
        <v>5744.1</v>
      </c>
      <c r="E131" s="90">
        <f>E132</f>
        <v>3406.9</v>
      </c>
      <c r="F131" s="183">
        <f>F132</f>
        <v>3239.2</v>
      </c>
      <c r="G131" s="90">
        <f>G132</f>
        <v>3400.1</v>
      </c>
      <c r="H131" s="88">
        <f t="shared" si="17"/>
        <v>0.008</v>
      </c>
      <c r="I131" s="144">
        <f t="shared" si="18"/>
        <v>0.998</v>
      </c>
      <c r="J131" s="89">
        <f t="shared" si="14"/>
        <v>-2344</v>
      </c>
      <c r="K131" s="88">
        <f t="shared" si="15"/>
        <v>0.592</v>
      </c>
      <c r="L131" s="90">
        <f t="shared" si="16"/>
        <v>160.9</v>
      </c>
    </row>
    <row r="132" spans="1:12" s="50" customFormat="1" ht="13.5">
      <c r="A132" s="18" t="s">
        <v>90</v>
      </c>
      <c r="B132" s="41" t="s">
        <v>130</v>
      </c>
      <c r="C132" s="162">
        <v>5571.6</v>
      </c>
      <c r="D132" s="43">
        <v>5744.1</v>
      </c>
      <c r="E132" s="43">
        <v>3406.9</v>
      </c>
      <c r="F132" s="43">
        <v>3239.2</v>
      </c>
      <c r="G132" s="43">
        <v>3400.1</v>
      </c>
      <c r="H132" s="99">
        <f t="shared" si="17"/>
        <v>0.008</v>
      </c>
      <c r="I132" s="144">
        <f t="shared" si="18"/>
        <v>0.998</v>
      </c>
      <c r="J132" s="100">
        <f t="shared" si="14"/>
        <v>-2344</v>
      </c>
      <c r="K132" s="99">
        <f t="shared" si="15"/>
        <v>0.592</v>
      </c>
      <c r="L132" s="98">
        <f t="shared" si="16"/>
        <v>160.9</v>
      </c>
    </row>
    <row r="133" spans="1:12" ht="54">
      <c r="A133" s="19"/>
      <c r="B133" s="10" t="s">
        <v>120</v>
      </c>
      <c r="C133" s="121">
        <v>4502.1</v>
      </c>
      <c r="D133" s="8">
        <v>4502.1</v>
      </c>
      <c r="E133" s="8">
        <v>2869.4</v>
      </c>
      <c r="F133" s="8">
        <v>2757.1</v>
      </c>
      <c r="G133" s="8">
        <v>2866.7</v>
      </c>
      <c r="H133" s="99">
        <f t="shared" si="17"/>
        <v>0.007</v>
      </c>
      <c r="I133" s="144">
        <f t="shared" si="18"/>
        <v>0.999</v>
      </c>
      <c r="J133" s="100">
        <f t="shared" si="14"/>
        <v>-1635.4</v>
      </c>
      <c r="K133" s="99">
        <f t="shared" si="15"/>
        <v>0.637</v>
      </c>
      <c r="L133" s="98">
        <f t="shared" si="16"/>
        <v>109.6</v>
      </c>
    </row>
    <row r="134" spans="1:12" ht="27">
      <c r="A134" s="19"/>
      <c r="B134" s="10" t="s">
        <v>121</v>
      </c>
      <c r="C134" s="121">
        <v>263.1</v>
      </c>
      <c r="D134" s="8">
        <v>435.5</v>
      </c>
      <c r="E134" s="8">
        <v>276.8</v>
      </c>
      <c r="F134" s="8">
        <v>9.9</v>
      </c>
      <c r="G134" s="8">
        <v>276.8</v>
      </c>
      <c r="H134" s="99">
        <f t="shared" si="17"/>
        <v>0.001</v>
      </c>
      <c r="I134" s="144">
        <f t="shared" si="18"/>
        <v>1</v>
      </c>
      <c r="J134" s="100">
        <f t="shared" si="14"/>
        <v>-158.7</v>
      </c>
      <c r="K134" s="99">
        <f t="shared" si="15"/>
        <v>0.636</v>
      </c>
      <c r="L134" s="98">
        <f t="shared" si="16"/>
        <v>266.9</v>
      </c>
    </row>
    <row r="135" spans="1:12" ht="13.5">
      <c r="A135" s="128"/>
      <c r="B135" s="129" t="s">
        <v>166</v>
      </c>
      <c r="C135" s="129"/>
      <c r="D135" s="130"/>
      <c r="E135" s="130"/>
      <c r="F135" s="130"/>
      <c r="G135" s="130"/>
      <c r="H135" s="99"/>
      <c r="I135" s="99"/>
      <c r="J135" s="100"/>
      <c r="K135" s="99"/>
      <c r="L135" s="98"/>
    </row>
    <row r="136" spans="1:12" ht="27">
      <c r="A136" s="128"/>
      <c r="B136" s="120" t="s">
        <v>122</v>
      </c>
      <c r="C136" s="121">
        <v>3273.8</v>
      </c>
      <c r="D136" s="121">
        <v>3273.8</v>
      </c>
      <c r="E136" s="121">
        <v>2421.7</v>
      </c>
      <c r="F136" s="130">
        <v>2284.4</v>
      </c>
      <c r="G136" s="121">
        <v>2421.7</v>
      </c>
      <c r="H136" s="99">
        <f>G136/$G$141</f>
        <v>0.006</v>
      </c>
      <c r="I136" s="144">
        <f aca="true" t="shared" si="19" ref="I136:I141">IF(E136=0,"0,0%",G136/E136)</f>
        <v>1</v>
      </c>
      <c r="J136" s="100">
        <f>G136-D136</f>
        <v>-852.1</v>
      </c>
      <c r="K136" s="99">
        <f>G136/D136</f>
        <v>0.74</v>
      </c>
      <c r="L136" s="98">
        <f>G136-F136</f>
        <v>137.3</v>
      </c>
    </row>
    <row r="137" spans="1:12" ht="13.5">
      <c r="A137" s="119"/>
      <c r="B137" s="120" t="s">
        <v>126</v>
      </c>
      <c r="C137" s="121">
        <v>961.4</v>
      </c>
      <c r="D137" s="121">
        <v>961.4</v>
      </c>
      <c r="E137" s="121">
        <v>337.8</v>
      </c>
      <c r="F137" s="130">
        <v>345.3</v>
      </c>
      <c r="G137" s="121">
        <v>337.7</v>
      </c>
      <c r="H137" s="99">
        <f>G137/$G$141</f>
        <v>0.001</v>
      </c>
      <c r="I137" s="144">
        <f t="shared" si="19"/>
        <v>1</v>
      </c>
      <c r="J137" s="100">
        <f>G137-D137</f>
        <v>-623.7</v>
      </c>
      <c r="K137" s="99">
        <f>G137/D137</f>
        <v>0.351</v>
      </c>
      <c r="L137" s="98">
        <f>G137-F137</f>
        <v>-7.6</v>
      </c>
    </row>
    <row r="138" spans="1:12" ht="13.5">
      <c r="A138" s="119"/>
      <c r="B138" s="123" t="s">
        <v>133</v>
      </c>
      <c r="C138" s="122">
        <v>1069.5</v>
      </c>
      <c r="D138" s="122">
        <v>1241.9</v>
      </c>
      <c r="E138" s="122">
        <v>537.5</v>
      </c>
      <c r="F138" s="135">
        <v>482.1</v>
      </c>
      <c r="G138" s="122">
        <v>533.4</v>
      </c>
      <c r="H138" s="99">
        <f>G138/$G$141</f>
        <v>0.001</v>
      </c>
      <c r="I138" s="144">
        <f t="shared" si="19"/>
        <v>0.992</v>
      </c>
      <c r="J138" s="100">
        <f>G138-D138</f>
        <v>-708.5</v>
      </c>
      <c r="K138" s="99">
        <f>G138/D138</f>
        <v>0.43</v>
      </c>
      <c r="L138" s="98">
        <f>G138-F138</f>
        <v>51.3</v>
      </c>
    </row>
    <row r="139" spans="1:12" s="29" customFormat="1" ht="27">
      <c r="A139" s="94">
        <v>1300</v>
      </c>
      <c r="B139" s="91" t="s">
        <v>131</v>
      </c>
      <c r="C139" s="90">
        <f>C140</f>
        <v>3918.6</v>
      </c>
      <c r="D139" s="90">
        <f>D140</f>
        <v>4898.6</v>
      </c>
      <c r="E139" s="90">
        <f>E140</f>
        <v>3221</v>
      </c>
      <c r="F139" s="183">
        <f>F140</f>
        <v>2921.7</v>
      </c>
      <c r="G139" s="90">
        <f>G140</f>
        <v>3220.9</v>
      </c>
      <c r="H139" s="88">
        <f>G139/$G$141</f>
        <v>0.007</v>
      </c>
      <c r="I139" s="144">
        <f t="shared" si="19"/>
        <v>1</v>
      </c>
      <c r="J139" s="89">
        <f t="shared" si="14"/>
        <v>-1677.7</v>
      </c>
      <c r="K139" s="88">
        <f t="shared" si="15"/>
        <v>0.658</v>
      </c>
      <c r="L139" s="90">
        <f t="shared" si="16"/>
        <v>299.2</v>
      </c>
    </row>
    <row r="140" spans="1:12" s="50" customFormat="1" ht="27">
      <c r="A140" s="18" t="s">
        <v>87</v>
      </c>
      <c r="B140" s="41" t="s">
        <v>132</v>
      </c>
      <c r="C140" s="162">
        <v>3918.6</v>
      </c>
      <c r="D140" s="43">
        <v>4898.6</v>
      </c>
      <c r="E140" s="43">
        <v>3221</v>
      </c>
      <c r="F140" s="43">
        <v>2921.7</v>
      </c>
      <c r="G140" s="43">
        <v>3220.9</v>
      </c>
      <c r="H140" s="99">
        <f>G140/$G$141</f>
        <v>0.007</v>
      </c>
      <c r="I140" s="144">
        <f t="shared" si="19"/>
        <v>1</v>
      </c>
      <c r="J140" s="100">
        <f t="shared" si="14"/>
        <v>-1677.7</v>
      </c>
      <c r="K140" s="99">
        <f t="shared" si="15"/>
        <v>0.658</v>
      </c>
      <c r="L140" s="98">
        <f t="shared" si="16"/>
        <v>299.2</v>
      </c>
    </row>
    <row r="141" spans="1:12" s="29" customFormat="1" ht="16.5">
      <c r="A141" s="85"/>
      <c r="B141" s="95" t="s">
        <v>64</v>
      </c>
      <c r="C141" s="90">
        <f aca="true" t="shared" si="20" ref="C141:H141">C50+C65+C71+C89+C110+C118+C128+C131+C139</f>
        <v>509340.8</v>
      </c>
      <c r="D141" s="90">
        <f t="shared" si="20"/>
        <v>670028.6</v>
      </c>
      <c r="E141" s="90">
        <f t="shared" si="20"/>
        <v>436539.5</v>
      </c>
      <c r="F141" s="183">
        <f t="shared" si="20"/>
        <v>399525.7</v>
      </c>
      <c r="G141" s="90">
        <f t="shared" si="20"/>
        <v>436310.7</v>
      </c>
      <c r="H141" s="90">
        <f t="shared" si="20"/>
        <v>1</v>
      </c>
      <c r="I141" s="144">
        <f t="shared" si="19"/>
        <v>0.999</v>
      </c>
      <c r="J141" s="90">
        <f>J50+J65+J71+J89+J110+J118+J128+J131+J139</f>
        <v>-233717.9</v>
      </c>
      <c r="K141" s="88">
        <f>G141/D141</f>
        <v>0.651</v>
      </c>
      <c r="L141" s="90">
        <f>G141-F141</f>
        <v>36785</v>
      </c>
    </row>
    <row r="142" spans="1:12" s="1" customFormat="1" ht="16.5">
      <c r="A142" s="38"/>
      <c r="B142" s="81"/>
      <c r="C142" s="166"/>
      <c r="D142" s="84"/>
      <c r="E142" s="84"/>
      <c r="F142" s="181"/>
      <c r="G142" s="84"/>
      <c r="H142" s="111"/>
      <c r="I142" s="143"/>
      <c r="J142" s="112"/>
      <c r="K142" s="111"/>
      <c r="L142" s="113"/>
    </row>
    <row r="143" spans="1:12" ht="13.5">
      <c r="A143" s="20"/>
      <c r="B143" s="7" t="s">
        <v>77</v>
      </c>
      <c r="C143" s="227">
        <f>C48-C141</f>
        <v>8000</v>
      </c>
      <c r="D143" s="227">
        <f>D48-D141</f>
        <v>-53916.9</v>
      </c>
      <c r="E143" s="227">
        <f>E48-E141</f>
        <v>-24247.6</v>
      </c>
      <c r="F143" s="227">
        <f>F48-F141</f>
        <v>619.9</v>
      </c>
      <c r="G143" s="227">
        <f>G48-G141</f>
        <v>-20267.3</v>
      </c>
      <c r="H143" s="217">
        <f>G143/G143</f>
        <v>1</v>
      </c>
      <c r="I143" s="143"/>
      <c r="J143" s="219">
        <f aca="true" t="shared" si="21" ref="J143:J149">G143-D143</f>
        <v>33649.6</v>
      </c>
      <c r="K143" s="221">
        <f>G143/D143</f>
        <v>0.376</v>
      </c>
      <c r="L143" s="224">
        <f>G143-F143</f>
        <v>-20887.2</v>
      </c>
    </row>
    <row r="144" spans="1:12" ht="13.5">
      <c r="A144" s="20"/>
      <c r="B144" s="7" t="s">
        <v>78</v>
      </c>
      <c r="C144" s="228"/>
      <c r="D144" s="228"/>
      <c r="E144" s="228"/>
      <c r="F144" s="228"/>
      <c r="G144" s="228"/>
      <c r="H144" s="218"/>
      <c r="I144" s="144" t="str">
        <f aca="true" t="shared" si="22" ref="I144:I149">IF(E144=0,"0,0%",G144/E144)</f>
        <v>0,0%</v>
      </c>
      <c r="J144" s="220"/>
      <c r="K144" s="222"/>
      <c r="L144" s="225"/>
    </row>
    <row r="145" spans="1:12" ht="27">
      <c r="A145" s="20"/>
      <c r="B145" s="7" t="s">
        <v>79</v>
      </c>
      <c r="C145" s="164">
        <f>C146+C149</f>
        <v>-8000</v>
      </c>
      <c r="D145" s="6">
        <f>D146+D149</f>
        <v>53916.9</v>
      </c>
      <c r="E145" s="6">
        <f>E146+E149</f>
        <v>24247.6</v>
      </c>
      <c r="F145" s="195">
        <f>F146+F149</f>
        <v>-619.9</v>
      </c>
      <c r="G145" s="147">
        <f>G146+G149</f>
        <v>20267.3</v>
      </c>
      <c r="H145" s="88">
        <f>G145/G145</f>
        <v>1</v>
      </c>
      <c r="I145" s="144">
        <f t="shared" si="22"/>
        <v>0.836</v>
      </c>
      <c r="J145" s="89">
        <f t="shared" si="21"/>
        <v>-33649.6</v>
      </c>
      <c r="K145" s="88">
        <f aca="true" t="shared" si="23" ref="K145:K151">G145/D145</f>
        <v>0.376</v>
      </c>
      <c r="L145" s="90">
        <f>G145-F145</f>
        <v>20887.2</v>
      </c>
    </row>
    <row r="146" spans="1:12" ht="27">
      <c r="A146" s="51" t="s">
        <v>100</v>
      </c>
      <c r="B146" s="82" t="s">
        <v>101</v>
      </c>
      <c r="C146" s="167">
        <f>C147-C148</f>
        <v>-8000</v>
      </c>
      <c r="D146" s="44">
        <f>D147-D148</f>
        <v>49248.7</v>
      </c>
      <c r="E146" s="44">
        <f>E147-E148</f>
        <v>19579.4</v>
      </c>
      <c r="F146" s="194">
        <f>F147-F148</f>
        <v>1000</v>
      </c>
      <c r="G146" s="148">
        <f>G147-G148</f>
        <v>17000</v>
      </c>
      <c r="H146" s="88">
        <f>G146/G143</f>
        <v>-0.839</v>
      </c>
      <c r="I146" s="144">
        <f t="shared" si="22"/>
        <v>0.868</v>
      </c>
      <c r="J146" s="89">
        <f t="shared" si="21"/>
        <v>-32248.7</v>
      </c>
      <c r="K146" s="88">
        <f t="shared" si="23"/>
        <v>0.345</v>
      </c>
      <c r="L146" s="90">
        <f>G146-F146</f>
        <v>16000</v>
      </c>
    </row>
    <row r="147" spans="1:12" s="50" customFormat="1" ht="40.5">
      <c r="A147" s="19" t="s">
        <v>96</v>
      </c>
      <c r="B147" s="83" t="s">
        <v>97</v>
      </c>
      <c r="C147" s="162">
        <v>0</v>
      </c>
      <c r="D147" s="43">
        <v>57248.7</v>
      </c>
      <c r="E147" s="43">
        <v>22579.4</v>
      </c>
      <c r="F147" s="192">
        <v>9500</v>
      </c>
      <c r="G147" s="149">
        <v>20000</v>
      </c>
      <c r="H147" s="108">
        <f>G147/G143</f>
        <v>-0.987</v>
      </c>
      <c r="I147" s="144">
        <f t="shared" si="22"/>
        <v>0.886</v>
      </c>
      <c r="J147" s="109">
        <f t="shared" si="21"/>
        <v>-37248.7</v>
      </c>
      <c r="K147" s="88">
        <f t="shared" si="23"/>
        <v>0.349</v>
      </c>
      <c r="L147" s="114">
        <f>G147-F147</f>
        <v>10500</v>
      </c>
    </row>
    <row r="148" spans="1:12" s="50" customFormat="1" ht="40.5">
      <c r="A148" s="19" t="s">
        <v>98</v>
      </c>
      <c r="B148" s="83" t="s">
        <v>99</v>
      </c>
      <c r="C148" s="162">
        <v>8000</v>
      </c>
      <c r="D148" s="43">
        <v>8000</v>
      </c>
      <c r="E148" s="43">
        <v>3000</v>
      </c>
      <c r="F148" s="192">
        <v>8500</v>
      </c>
      <c r="G148" s="149">
        <v>3000</v>
      </c>
      <c r="H148" s="108">
        <f>G148/G143</f>
        <v>-0.148</v>
      </c>
      <c r="I148" s="144">
        <f t="shared" si="22"/>
        <v>1</v>
      </c>
      <c r="J148" s="109">
        <f t="shared" si="21"/>
        <v>-5000</v>
      </c>
      <c r="K148" s="88">
        <f t="shared" si="23"/>
        <v>0.375</v>
      </c>
      <c r="L148" s="114">
        <f>G148-F148</f>
        <v>-5500</v>
      </c>
    </row>
    <row r="149" spans="1:12" ht="27">
      <c r="A149" s="51" t="s">
        <v>102</v>
      </c>
      <c r="B149" s="82" t="s">
        <v>103</v>
      </c>
      <c r="C149" s="167">
        <f>C150+C151</f>
        <v>0</v>
      </c>
      <c r="D149" s="44">
        <f>D150+D151</f>
        <v>4668.2</v>
      </c>
      <c r="E149" s="44">
        <f>E150+E151</f>
        <v>4668.2</v>
      </c>
      <c r="F149" s="191">
        <f>F150+F151</f>
        <v>-1619.9</v>
      </c>
      <c r="G149" s="148">
        <f>G150+G151</f>
        <v>3267.3</v>
      </c>
      <c r="H149" s="88">
        <f>G149/G143</f>
        <v>-0.161</v>
      </c>
      <c r="I149" s="144">
        <f t="shared" si="22"/>
        <v>0.7</v>
      </c>
      <c r="J149" s="89">
        <f t="shared" si="21"/>
        <v>-1400.9</v>
      </c>
      <c r="K149" s="88">
        <f t="shared" si="23"/>
        <v>0.7</v>
      </c>
      <c r="L149" s="110">
        <f>G149-F149</f>
        <v>4887.2</v>
      </c>
    </row>
    <row r="150" spans="1:12" ht="27">
      <c r="A150" s="18" t="s">
        <v>104</v>
      </c>
      <c r="B150" s="9" t="s">
        <v>60</v>
      </c>
      <c r="C150" s="162">
        <f>-(C48+C147)</f>
        <v>-517340.8</v>
      </c>
      <c r="D150" s="162">
        <f>-(D48+D147)</f>
        <v>-673360.4</v>
      </c>
      <c r="E150" s="137">
        <f>-(E48+E147)</f>
        <v>-434871.3</v>
      </c>
      <c r="F150" s="193">
        <v>-413247.2</v>
      </c>
      <c r="G150" s="137">
        <v>-438577</v>
      </c>
      <c r="H150" s="108"/>
      <c r="I150" s="108"/>
      <c r="J150" s="100">
        <f>G150-D150</f>
        <v>234783.4</v>
      </c>
      <c r="K150" s="99">
        <f t="shared" si="23"/>
        <v>0.651</v>
      </c>
      <c r="L150" s="98">
        <f>-(L47)</f>
        <v>-2740.3</v>
      </c>
    </row>
    <row r="151" spans="1:12" ht="27">
      <c r="A151" s="18" t="s">
        <v>105</v>
      </c>
      <c r="B151" s="9" t="s">
        <v>61</v>
      </c>
      <c r="C151" s="162">
        <f>C141+C148</f>
        <v>517340.8</v>
      </c>
      <c r="D151" s="162">
        <f>D141+D148</f>
        <v>678028.6</v>
      </c>
      <c r="E151" s="137">
        <f>E141+E148</f>
        <v>439539.5</v>
      </c>
      <c r="F151" s="193">
        <v>411627.3</v>
      </c>
      <c r="G151" s="137">
        <v>441844.3</v>
      </c>
      <c r="H151" s="108"/>
      <c r="I151" s="108"/>
      <c r="J151" s="100">
        <f>G151-D151</f>
        <v>-236184.3</v>
      </c>
      <c r="K151" s="99">
        <f t="shared" si="23"/>
        <v>0.652</v>
      </c>
      <c r="L151" s="98">
        <f>L141</f>
        <v>36785</v>
      </c>
    </row>
    <row r="152" spans="1:12" ht="0.75" customHeight="1">
      <c r="A152" s="19" t="s">
        <v>10</v>
      </c>
      <c r="B152" s="12" t="s">
        <v>9</v>
      </c>
      <c r="C152" s="168"/>
      <c r="D152" s="34"/>
      <c r="E152" s="8" t="s">
        <v>10</v>
      </c>
      <c r="F152" s="8"/>
      <c r="G152" s="8"/>
      <c r="H152" s="99"/>
      <c r="I152" s="99"/>
      <c r="J152" s="100"/>
      <c r="K152" s="99"/>
      <c r="L152" s="98"/>
    </row>
    <row r="153" spans="1:12" ht="27" hidden="1">
      <c r="A153" s="96"/>
      <c r="B153" s="97" t="s">
        <v>169</v>
      </c>
      <c r="C153" s="98" t="e">
        <f>#REF!+C107+C115+C125+C136</f>
        <v>#REF!</v>
      </c>
      <c r="D153" s="98" t="e">
        <f>#REF!+D107+D115+D125+D136</f>
        <v>#REF!</v>
      </c>
      <c r="E153" s="98" t="e">
        <f>#REF!+E107+E115+E125+E136</f>
        <v>#REF!</v>
      </c>
      <c r="F153" s="182" t="e">
        <f>#REF!+F107+F115+F125+F136</f>
        <v>#REF!</v>
      </c>
      <c r="G153" s="98" t="e">
        <f>#REF!+G107+G115+G125+G136</f>
        <v>#REF!</v>
      </c>
      <c r="H153" s="108" t="e">
        <f aca="true" t="shared" si="24" ref="H153:H158">G153/$G$141</f>
        <v>#REF!</v>
      </c>
      <c r="I153" s="144" t="e">
        <f aca="true" t="shared" si="25" ref="I153:I158">IF(E153=0,"0,0%",G153/E153)</f>
        <v>#REF!</v>
      </c>
      <c r="J153" s="109" t="e">
        <f aca="true" t="shared" si="26" ref="J153:J158">G153-D153</f>
        <v>#REF!</v>
      </c>
      <c r="K153" s="108" t="e">
        <f aca="true" t="shared" si="27" ref="K153:K158">G153/D153</f>
        <v>#REF!</v>
      </c>
      <c r="L153" s="114" t="e">
        <f aca="true" t="shared" si="28" ref="L153:L158">G153-F153</f>
        <v>#REF!</v>
      </c>
    </row>
    <row r="154" spans="1:12" ht="13.5" hidden="1">
      <c r="A154" s="96" t="s">
        <v>10</v>
      </c>
      <c r="B154" s="97" t="s">
        <v>167</v>
      </c>
      <c r="C154" s="121">
        <v>62163.1</v>
      </c>
      <c r="D154" s="141">
        <v>60643.5</v>
      </c>
      <c r="E154" s="141">
        <v>12673.8</v>
      </c>
      <c r="F154" s="8">
        <v>52836</v>
      </c>
      <c r="G154" s="141">
        <v>4312.2</v>
      </c>
      <c r="H154" s="108">
        <f t="shared" si="24"/>
        <v>0.01</v>
      </c>
      <c r="I154" s="144">
        <f t="shared" si="25"/>
        <v>0.34</v>
      </c>
      <c r="J154" s="109">
        <f t="shared" si="26"/>
        <v>-56331.3</v>
      </c>
      <c r="K154" s="108">
        <f t="shared" si="27"/>
        <v>0.071</v>
      </c>
      <c r="L154" s="114">
        <f t="shared" si="28"/>
        <v>-48523.8</v>
      </c>
    </row>
    <row r="155" spans="1:12" ht="13.5" hidden="1">
      <c r="A155" s="96"/>
      <c r="B155" s="97" t="s">
        <v>168</v>
      </c>
      <c r="C155" s="121">
        <v>42200.4</v>
      </c>
      <c r="D155" s="141">
        <v>42200.2</v>
      </c>
      <c r="E155" s="141">
        <v>8862.1</v>
      </c>
      <c r="F155" s="8">
        <v>34254.8</v>
      </c>
      <c r="G155" s="141">
        <v>2916.7</v>
      </c>
      <c r="H155" s="108">
        <f t="shared" si="24"/>
        <v>0.007</v>
      </c>
      <c r="I155" s="144">
        <f t="shared" si="25"/>
        <v>0.329</v>
      </c>
      <c r="J155" s="109">
        <f t="shared" si="26"/>
        <v>-39283.5</v>
      </c>
      <c r="K155" s="108">
        <f t="shared" si="27"/>
        <v>0.069</v>
      </c>
      <c r="L155" s="114">
        <f t="shared" si="28"/>
        <v>-31338.1</v>
      </c>
    </row>
    <row r="156" spans="1:12" ht="13.5" hidden="1">
      <c r="A156" s="96" t="s">
        <v>10</v>
      </c>
      <c r="B156" s="97" t="s">
        <v>126</v>
      </c>
      <c r="C156" s="98" t="e">
        <f>#REF!+C116+C126+C137</f>
        <v>#REF!</v>
      </c>
      <c r="D156" s="98" t="e">
        <f>#REF!+D116+D126+D137</f>
        <v>#REF!</v>
      </c>
      <c r="E156" s="98" t="e">
        <f>#REF!+E116+E126+E137</f>
        <v>#REF!</v>
      </c>
      <c r="F156" s="182" t="e">
        <f>#REF!+F116+F126+F137</f>
        <v>#REF!</v>
      </c>
      <c r="G156" s="98" t="e">
        <f>#REF!+G116+G126+G137</f>
        <v>#REF!</v>
      </c>
      <c r="H156" s="108" t="e">
        <f t="shared" si="24"/>
        <v>#REF!</v>
      </c>
      <c r="I156" s="144" t="e">
        <f t="shared" si="25"/>
        <v>#REF!</v>
      </c>
      <c r="J156" s="109" t="e">
        <f t="shared" si="26"/>
        <v>#REF!</v>
      </c>
      <c r="K156" s="108" t="e">
        <f t="shared" si="27"/>
        <v>#REF!</v>
      </c>
      <c r="L156" s="114" t="e">
        <f t="shared" si="28"/>
        <v>#REF!</v>
      </c>
    </row>
    <row r="157" spans="1:12" ht="13.5" hidden="1">
      <c r="A157" s="96" t="s">
        <v>10</v>
      </c>
      <c r="B157" s="101" t="s">
        <v>86</v>
      </c>
      <c r="C157" s="121">
        <v>8286.1</v>
      </c>
      <c r="D157" s="141">
        <v>8286.1</v>
      </c>
      <c r="E157" s="141">
        <v>1165.4</v>
      </c>
      <c r="F157" s="8">
        <v>1079.2</v>
      </c>
      <c r="G157" s="141">
        <v>5.6</v>
      </c>
      <c r="H157" s="108">
        <f t="shared" si="24"/>
        <v>0</v>
      </c>
      <c r="I157" s="144">
        <f t="shared" si="25"/>
        <v>0.005</v>
      </c>
      <c r="J157" s="109">
        <f t="shared" si="26"/>
        <v>-8280.5</v>
      </c>
      <c r="K157" s="108">
        <f t="shared" si="27"/>
        <v>0.001</v>
      </c>
      <c r="L157" s="114">
        <f t="shared" si="28"/>
        <v>-1073.6</v>
      </c>
    </row>
    <row r="158" spans="1:12" ht="13.5" hidden="1">
      <c r="A158" s="96"/>
      <c r="B158" s="101" t="s">
        <v>133</v>
      </c>
      <c r="C158" s="98" t="e">
        <f>#REF!+C70+C88+C109+C117+C127+C138</f>
        <v>#REF!</v>
      </c>
      <c r="D158" s="98" t="e">
        <f>#REF!+D70+D88+D109+D117+D127+D138</f>
        <v>#REF!</v>
      </c>
      <c r="E158" s="98" t="e">
        <f>#REF!+E70+E88+E109+E117+E127+E138</f>
        <v>#REF!</v>
      </c>
      <c r="F158" s="182" t="e">
        <f>#REF!+F70+F88+F109+F117+F127+F138</f>
        <v>#REF!</v>
      </c>
      <c r="G158" s="98" t="e">
        <f>#REF!+G70+G88+G109+G117+G127+G138</f>
        <v>#REF!</v>
      </c>
      <c r="H158" s="108" t="e">
        <f t="shared" si="24"/>
        <v>#REF!</v>
      </c>
      <c r="I158" s="144" t="e">
        <f t="shared" si="25"/>
        <v>#REF!</v>
      </c>
      <c r="J158" s="109" t="e">
        <f t="shared" si="26"/>
        <v>#REF!</v>
      </c>
      <c r="K158" s="108" t="e">
        <f t="shared" si="27"/>
        <v>#REF!</v>
      </c>
      <c r="L158" s="114" t="e">
        <f t="shared" si="28"/>
        <v>#REF!</v>
      </c>
    </row>
    <row r="159" spans="2:12" ht="13.5">
      <c r="B159" s="124"/>
      <c r="C159" s="36"/>
      <c r="D159" s="37"/>
      <c r="E159" s="37"/>
      <c r="F159" s="37"/>
      <c r="G159" s="37"/>
      <c r="H159" s="39"/>
      <c r="I159" s="39"/>
      <c r="J159" s="40"/>
      <c r="K159" s="39"/>
      <c r="L159" s="37"/>
    </row>
  </sheetData>
  <sheetProtection/>
  <mergeCells count="11">
    <mergeCell ref="H143:H144"/>
    <mergeCell ref="J143:J144"/>
    <mergeCell ref="K143:K144"/>
    <mergeCell ref="H1:L1"/>
    <mergeCell ref="L143:L144"/>
    <mergeCell ref="A2:K2"/>
    <mergeCell ref="C143:C144"/>
    <mergeCell ref="D143:D144"/>
    <mergeCell ref="E143:E144"/>
    <mergeCell ref="G143:G144"/>
    <mergeCell ref="F143:F144"/>
  </mergeCells>
  <printOptions/>
  <pageMargins left="0.2755905511811024" right="0.1968503937007874" top="0.23" bottom="0.2" header="0.17" footer="0.17"/>
  <pageSetup blackAndWhite="1" fitToHeight="9" fitToWidth="1" orientation="landscape" paperSize="9" scale="89" r:id="rId1"/>
  <headerFooter alignWithMargins="0">
    <oddFooter>&amp;R&amp;"Arial Narrow,обычный"&amp;8Лист &amp;P из &amp;N</oddFooter>
  </headerFooter>
  <rowBreaks count="66" manualBreakCount="66">
    <brk id="13" max="255" man="1"/>
    <brk id="18" max="11" man="1"/>
    <brk id="21" max="11" man="1"/>
    <brk id="23" max="11" man="1"/>
    <brk id="28" max="11" man="1"/>
    <brk id="35" max="255" man="1"/>
    <brk id="44" max="11" man="1"/>
    <brk id="45" max="11" man="1"/>
    <brk id="46" max="11" man="1"/>
    <brk id="47" max="11" man="1"/>
    <brk id="48" max="255" man="1"/>
    <brk id="49" max="11" man="1"/>
    <brk id="50" max="11" man="1"/>
    <brk id="52" max="11" man="1"/>
    <brk id="55" max="11" man="1"/>
    <brk id="56" max="11" man="1"/>
    <brk id="60" max="11" man="1"/>
    <brk id="72" max="11" man="1"/>
    <brk id="73" max="11" man="1"/>
    <brk id="74" max="11" man="1"/>
    <brk id="77" max="11" man="1"/>
    <brk id="86" max="255" man="1"/>
    <brk id="98" max="11" man="1"/>
    <brk id="99" max="255" man="1"/>
    <brk id="103" max="11" man="1"/>
    <brk id="110" max="11" man="1"/>
    <brk id="111" max="11" man="1"/>
    <brk id="165" max="12" man="1"/>
    <brk id="173" max="12" man="1"/>
    <brk id="174" max="12" man="1"/>
    <brk id="175" max="255" man="1"/>
    <brk id="177" max="12" man="1"/>
    <brk id="178" max="12" man="1"/>
    <brk id="181" max="255" man="1"/>
    <brk id="182" max="255" man="1"/>
    <brk id="185" max="13" man="1"/>
    <brk id="186" max="255" man="1"/>
    <brk id="187" max="13" man="1"/>
    <brk id="189" max="13" man="1"/>
    <brk id="192" max="13" man="1"/>
    <brk id="193" max="13" man="1"/>
    <brk id="195" max="13" man="1"/>
    <brk id="196" max="13" man="1"/>
    <brk id="203" max="13" man="1"/>
    <brk id="209" max="13" man="1"/>
    <brk id="210" max="13" man="1"/>
    <brk id="211" max="13" man="1"/>
    <brk id="214" max="13" man="1"/>
    <brk id="215" max="255" man="1"/>
    <brk id="218" max="13" man="1"/>
    <brk id="220" max="255" man="1"/>
    <brk id="222" max="255" man="1"/>
    <brk id="223" max="13" man="1"/>
    <brk id="224" max="13" man="1"/>
    <brk id="225" max="13" man="1"/>
    <brk id="231" max="13" man="1"/>
    <brk id="233" max="13" man="1"/>
    <brk id="238" max="13" man="1"/>
    <brk id="240" max="13" man="1"/>
    <brk id="243" max="13" man="1"/>
    <brk id="245" max="13" man="1"/>
    <brk id="253" max="13" man="1"/>
    <brk id="254" max="255" man="1"/>
    <brk id="262" max="13" man="1"/>
    <brk id="266" max="13" man="1"/>
    <brk id="2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pashkov</cp:lastModifiedBy>
  <cp:lastPrinted>2013-10-09T06:30:47Z</cp:lastPrinted>
  <dcterms:created xsi:type="dcterms:W3CDTF">1998-04-06T06:06:47Z</dcterms:created>
  <dcterms:modified xsi:type="dcterms:W3CDTF">2013-11-05T13:08:43Z</dcterms:modified>
  <cp:category/>
  <cp:version/>
  <cp:contentType/>
  <cp:contentStatus/>
</cp:coreProperties>
</file>