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бюджета'!$A$1:$L$182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бюджета'!$A$1:$L$182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бюджета'!$A$1:$K$181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бюджета'!$A$1:$K$182</definedName>
    <definedName name="Z_4F278C51_CC0C_4908_B19B_FD853FE30C23_.wvu.PrintArea" localSheetId="0" hidden="1">'Анализ бюджета'!$A$1:$K$181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бюджета'!$A$1:$L$182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бюджета'!$39:$40,'Анализ бюджета'!$50:$51,'Анализ бюджета'!$138:$138</definedName>
    <definedName name="Z_735893B7_5E6F_4E87_8F79_7422E435EC59_.wvu.PrintArea" localSheetId="0" hidden="1">'Анализ бюджета'!$A$1:$K$184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бюджета'!$32:$37</definedName>
    <definedName name="Z_8F58F720_5478_11D7_8E43_00002120D636_.wvu.PrintArea" localSheetId="0" hidden="1">'Анализ бюджета'!$A$2:$K$53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бюджета'!$A$1:$L$182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бюджета'!$39:$40,'Анализ бюджета'!$50:$51,'Анализ бюджета'!#REF!,'Анализ бюджета'!$138:$138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бюджета'!$A$1:$K$184</definedName>
    <definedName name="Z_97B5DCE1_CCA4_11D7_B6CC_0007E980B7D4_.wvu.Rows" localSheetId="0" hidden="1">'Анализ бюджета'!#REF!,'Анализ бюджета'!$32:$37</definedName>
    <definedName name="Z_A91D99C2_8122_48C0_91AB_172E51C62B1D_.wvu.PrintArea" localSheetId="0" hidden="1">'Анализ бюджета'!$A$1:$K$181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бюджета'!$A$1:$L$182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бюджета'!$138:$138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бюджета'!$A$1:$K$181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бюджета'!$A$1:$L$182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бюджета'!$39:$40,'Анализ бюджета'!$50:$51,'Анализ бюджета'!$138:$138</definedName>
    <definedName name="Z_E64E5F61_FD5E_11DA_AA5B_0004761D6C8E_.wvu.PrintArea" localSheetId="0" hidden="1">'Анализ бюджета'!$A$1:$K$181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бюджета'!$G$52</definedName>
    <definedName name="Всего_расходов_2002">'Анализ бюджета'!#REF!</definedName>
    <definedName name="Всего_расходов_2003">'Анализ бюджета'!$G$127</definedName>
    <definedName name="_xlnm.Print_Titles" localSheetId="0">'Анализ бюджета'!$4:$5</definedName>
    <definedName name="_xlnm.Print_Area" localSheetId="0">'Анализ бюджета'!$A$1:$L$182</definedName>
  </definedNames>
  <calcPr calcId="145621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K104" i="1" l="1"/>
  <c r="L76" i="1"/>
  <c r="J76" i="1"/>
  <c r="I76" i="1"/>
  <c r="G74" i="1"/>
  <c r="F74" i="1"/>
  <c r="E74" i="1"/>
  <c r="I74" i="1" s="1"/>
  <c r="D74" i="1"/>
  <c r="C74" i="1"/>
  <c r="F104" i="1"/>
  <c r="F113" i="1"/>
  <c r="F146" i="1"/>
  <c r="F145" i="1"/>
  <c r="F142" i="1"/>
  <c r="F141" i="1"/>
  <c r="F137" i="1"/>
  <c r="F136" i="1"/>
  <c r="F132" i="1"/>
  <c r="F131" i="1"/>
  <c r="F128" i="1"/>
  <c r="F129" i="1"/>
  <c r="F125" i="1"/>
  <c r="F119" i="1"/>
  <c r="F121" i="1"/>
  <c r="F117" i="1"/>
  <c r="F116" i="1"/>
  <c r="F115" i="1"/>
  <c r="F99" i="1"/>
  <c r="F97" i="1"/>
  <c r="F91" i="1"/>
  <c r="F89" i="1"/>
  <c r="F72" i="1"/>
  <c r="F71" i="1"/>
  <c r="F66" i="1"/>
  <c r="F58" i="1"/>
  <c r="F60" i="1"/>
  <c r="J45" i="1"/>
  <c r="I45" i="1"/>
  <c r="L45" i="1"/>
  <c r="F47" i="1"/>
  <c r="F46" i="1" s="1"/>
  <c r="F41" i="1"/>
  <c r="F36" i="1"/>
  <c r="F25" i="1"/>
  <c r="G48" i="1"/>
  <c r="F32" i="1"/>
  <c r="F31" i="1"/>
  <c r="F29" i="1"/>
  <c r="F28" i="1" s="1"/>
  <c r="D28" i="1"/>
  <c r="E28" i="1"/>
  <c r="G28" i="1"/>
  <c r="C28" i="1"/>
  <c r="F24" i="1"/>
  <c r="F27" i="1"/>
  <c r="F21" i="1"/>
  <c r="F20" i="1"/>
  <c r="F18" i="1"/>
  <c r="F15" i="1"/>
  <c r="F10" i="1"/>
  <c r="L74" i="1" l="1"/>
  <c r="K74" i="1"/>
  <c r="J74" i="1"/>
  <c r="L29" i="1"/>
  <c r="J28" i="1"/>
  <c r="J29" i="1"/>
  <c r="I28" i="1"/>
  <c r="I29" i="1"/>
  <c r="L28" i="1"/>
  <c r="F40" i="1"/>
  <c r="G40" i="1"/>
  <c r="E40" i="1"/>
  <c r="G46" i="1"/>
  <c r="G23" i="1"/>
  <c r="G84" i="1"/>
  <c r="G147" i="1"/>
  <c r="G55" i="1"/>
  <c r="E127" i="1"/>
  <c r="D127" i="1"/>
  <c r="C175" i="1" l="1"/>
  <c r="D174" i="1"/>
  <c r="G173" i="1"/>
  <c r="E173" i="1"/>
  <c r="D173" i="1"/>
  <c r="D172" i="1"/>
  <c r="D148" i="1"/>
  <c r="D135" i="1"/>
  <c r="D119" i="1"/>
  <c r="L120" i="1"/>
  <c r="K120" i="1"/>
  <c r="J120" i="1"/>
  <c r="I120" i="1"/>
  <c r="D115" i="1"/>
  <c r="D92" i="1"/>
  <c r="D91" i="1"/>
  <c r="L49" i="1"/>
  <c r="K49" i="1"/>
  <c r="I49" i="1"/>
  <c r="F48" i="1"/>
  <c r="E48" i="1"/>
  <c r="I48" i="1" s="1"/>
  <c r="D48" i="1"/>
  <c r="C48" i="1"/>
  <c r="H170" i="1"/>
  <c r="D84" i="1"/>
  <c r="D165" i="1"/>
  <c r="C165" i="1"/>
  <c r="G172" i="1"/>
  <c r="C174" i="1"/>
  <c r="F174" i="1"/>
  <c r="E174" i="1"/>
  <c r="G174" i="1"/>
  <c r="K12" i="1"/>
  <c r="J12" i="1"/>
  <c r="I12" i="1"/>
  <c r="L12" i="1"/>
  <c r="L15" i="1"/>
  <c r="L18" i="1"/>
  <c r="L20" i="1"/>
  <c r="L21" i="1"/>
  <c r="L24" i="1"/>
  <c r="L25" i="1"/>
  <c r="L26" i="1"/>
  <c r="L27" i="1"/>
  <c r="L31" i="1"/>
  <c r="L32" i="1"/>
  <c r="L33" i="1"/>
  <c r="L35" i="1"/>
  <c r="L36" i="1"/>
  <c r="L38" i="1"/>
  <c r="L41" i="1"/>
  <c r="L43" i="1"/>
  <c r="L44" i="1"/>
  <c r="L47" i="1"/>
  <c r="L51" i="1"/>
  <c r="D40" i="1"/>
  <c r="D34" i="1"/>
  <c r="E34" i="1"/>
  <c r="F34" i="1"/>
  <c r="G34" i="1"/>
  <c r="D30" i="1"/>
  <c r="E30" i="1"/>
  <c r="F30" i="1"/>
  <c r="G30" i="1"/>
  <c r="D23" i="1"/>
  <c r="E23" i="1"/>
  <c r="F23" i="1"/>
  <c r="D19" i="1"/>
  <c r="E19" i="1"/>
  <c r="F19" i="1"/>
  <c r="G19" i="1"/>
  <c r="D17" i="1"/>
  <c r="E17" i="1"/>
  <c r="F17" i="1"/>
  <c r="G17" i="1"/>
  <c r="D14" i="1"/>
  <c r="D13" i="1" s="1"/>
  <c r="E14" i="1"/>
  <c r="F14" i="1"/>
  <c r="G14" i="1"/>
  <c r="E13" i="1"/>
  <c r="F13" i="1"/>
  <c r="G13" i="1"/>
  <c r="D11" i="1"/>
  <c r="E11" i="1"/>
  <c r="F11" i="1"/>
  <c r="G11" i="1"/>
  <c r="D9" i="1"/>
  <c r="D8" i="1" s="1"/>
  <c r="E9" i="1"/>
  <c r="E8" i="1" s="1"/>
  <c r="F9" i="1"/>
  <c r="F8" i="1" s="1"/>
  <c r="G9" i="1"/>
  <c r="C14" i="1"/>
  <c r="K11" i="1" l="1"/>
  <c r="E16" i="1"/>
  <c r="E7" i="1" s="1"/>
  <c r="G8" i="1"/>
  <c r="D16" i="1"/>
  <c r="D7" i="1" s="1"/>
  <c r="G16" i="1"/>
  <c r="G7" i="1" s="1"/>
  <c r="L14" i="1"/>
  <c r="I11" i="1"/>
  <c r="L11" i="1"/>
  <c r="L17" i="1"/>
  <c r="L23" i="1"/>
  <c r="L30" i="1"/>
  <c r="L34" i="1"/>
  <c r="L40" i="1"/>
  <c r="J11" i="1"/>
  <c r="F16" i="1"/>
  <c r="L19" i="1"/>
  <c r="L13" i="1"/>
  <c r="L48" i="1"/>
  <c r="K48" i="1"/>
  <c r="C9" i="1"/>
  <c r="C30" i="1"/>
  <c r="C23" i="1"/>
  <c r="C34" i="1"/>
  <c r="K36" i="1"/>
  <c r="J36" i="1"/>
  <c r="I36" i="1"/>
  <c r="C11" i="1"/>
  <c r="F77" i="1"/>
  <c r="D77" i="1"/>
  <c r="E77" i="1"/>
  <c r="G77" i="1"/>
  <c r="C77" i="1"/>
  <c r="L159" i="1"/>
  <c r="K159" i="1"/>
  <c r="J159" i="1"/>
  <c r="I159" i="1"/>
  <c r="G158" i="1"/>
  <c r="F158" i="1"/>
  <c r="E158" i="1"/>
  <c r="I158" i="1" s="1"/>
  <c r="D158" i="1"/>
  <c r="C158" i="1"/>
  <c r="C148" i="1"/>
  <c r="C147" i="1" s="1"/>
  <c r="I151" i="1"/>
  <c r="C135" i="1"/>
  <c r="C127" i="1"/>
  <c r="J7" i="1" l="1"/>
  <c r="I7" i="1"/>
  <c r="L16" i="1"/>
  <c r="F7" i="1"/>
  <c r="L7" i="1" s="1"/>
  <c r="L158" i="1"/>
  <c r="K158" i="1"/>
  <c r="J158" i="1"/>
  <c r="J151" i="1"/>
  <c r="L151" i="1"/>
  <c r="L121" i="1"/>
  <c r="K121" i="1"/>
  <c r="J121" i="1"/>
  <c r="I121" i="1"/>
  <c r="D117" i="1"/>
  <c r="D103" i="1"/>
  <c r="E103" i="1"/>
  <c r="F103" i="1"/>
  <c r="G103" i="1"/>
  <c r="C103" i="1"/>
  <c r="L112" i="1"/>
  <c r="K112" i="1"/>
  <c r="J112" i="1"/>
  <c r="I112" i="1"/>
  <c r="L110" i="1"/>
  <c r="K110" i="1"/>
  <c r="J110" i="1"/>
  <c r="I110" i="1"/>
  <c r="L109" i="1"/>
  <c r="K109" i="1"/>
  <c r="J109" i="1"/>
  <c r="I109" i="1"/>
  <c r="L108" i="1"/>
  <c r="K108" i="1"/>
  <c r="J108" i="1"/>
  <c r="I108" i="1"/>
  <c r="L107" i="1"/>
  <c r="K107" i="1"/>
  <c r="J107" i="1"/>
  <c r="I107" i="1"/>
  <c r="L100" i="1"/>
  <c r="K100" i="1"/>
  <c r="J100" i="1"/>
  <c r="I100" i="1"/>
  <c r="F177" i="1"/>
  <c r="F175" i="1"/>
  <c r="F172" i="1"/>
  <c r="F168" i="1"/>
  <c r="F165" i="1"/>
  <c r="F156" i="1"/>
  <c r="F147" i="1"/>
  <c r="F144" i="1"/>
  <c r="F135" i="1"/>
  <c r="F134" i="1" s="1"/>
  <c r="F127" i="1"/>
  <c r="F126" i="1" s="1"/>
  <c r="F84" i="1"/>
  <c r="F55" i="1"/>
  <c r="F50" i="1"/>
  <c r="F42" i="1"/>
  <c r="F37" i="1"/>
  <c r="F22" i="1" s="1"/>
  <c r="L10" i="1"/>
  <c r="L58" i="1"/>
  <c r="L57" i="1"/>
  <c r="L56" i="1"/>
  <c r="L9" i="1"/>
  <c r="K47" i="1"/>
  <c r="I47" i="1"/>
  <c r="E46" i="1"/>
  <c r="I46" i="1" s="1"/>
  <c r="D46" i="1"/>
  <c r="C46" i="1"/>
  <c r="K25" i="1"/>
  <c r="J25" i="1"/>
  <c r="I25" i="1"/>
  <c r="F160" i="1" l="1"/>
  <c r="F39" i="1"/>
  <c r="L46" i="1"/>
  <c r="F164" i="1"/>
  <c r="K46" i="1"/>
  <c r="C84" i="1"/>
  <c r="F6" i="1" l="1"/>
  <c r="L124" i="1"/>
  <c r="K124" i="1"/>
  <c r="J124" i="1"/>
  <c r="I124" i="1"/>
  <c r="L96" i="1"/>
  <c r="K96" i="1"/>
  <c r="J96" i="1"/>
  <c r="I96" i="1"/>
  <c r="L88" i="1"/>
  <c r="K88" i="1"/>
  <c r="J88" i="1"/>
  <c r="I88" i="1"/>
  <c r="L63" i="1"/>
  <c r="J63" i="1"/>
  <c r="I63" i="1"/>
  <c r="J33" i="1"/>
  <c r="I33" i="1"/>
  <c r="F52" i="1" l="1"/>
  <c r="I9" i="1"/>
  <c r="I10" i="1"/>
  <c r="I15" i="1"/>
  <c r="I18" i="1"/>
  <c r="I20" i="1"/>
  <c r="I21" i="1"/>
  <c r="I24" i="1"/>
  <c r="I26" i="1"/>
  <c r="I27" i="1"/>
  <c r="I31" i="1"/>
  <c r="I32" i="1"/>
  <c r="I35" i="1"/>
  <c r="I38" i="1"/>
  <c r="I41" i="1"/>
  <c r="I43" i="1"/>
  <c r="I44" i="1"/>
  <c r="I51" i="1"/>
  <c r="K35" i="1"/>
  <c r="J35" i="1"/>
  <c r="I34" i="1"/>
  <c r="J38" i="1"/>
  <c r="E42" i="1"/>
  <c r="G42" i="1"/>
  <c r="D42" i="1"/>
  <c r="C42" i="1"/>
  <c r="L8" i="1"/>
  <c r="K9" i="1"/>
  <c r="K10" i="1"/>
  <c r="K15" i="1"/>
  <c r="K18" i="1"/>
  <c r="K20" i="1"/>
  <c r="K21" i="1"/>
  <c r="K24" i="1"/>
  <c r="K26" i="1"/>
  <c r="K27" i="1"/>
  <c r="K31" i="1"/>
  <c r="K32" i="1"/>
  <c r="K41" i="1"/>
  <c r="J9" i="1"/>
  <c r="J10" i="1"/>
  <c r="J15" i="1"/>
  <c r="J18" i="1"/>
  <c r="J20" i="1"/>
  <c r="J21" i="1"/>
  <c r="J24" i="1"/>
  <c r="J26" i="1"/>
  <c r="J27" i="1"/>
  <c r="J31" i="1"/>
  <c r="J32" i="1"/>
  <c r="J41" i="1"/>
  <c r="J44" i="1"/>
  <c r="J43" i="1"/>
  <c r="K51" i="1"/>
  <c r="G50" i="1"/>
  <c r="L50" i="1" s="1"/>
  <c r="E50" i="1"/>
  <c r="D50" i="1"/>
  <c r="C50" i="1"/>
  <c r="C40" i="1"/>
  <c r="C39" i="1" s="1"/>
  <c r="H38" i="1"/>
  <c r="G37" i="1"/>
  <c r="G22" i="1" s="1"/>
  <c r="G6" i="1" s="1"/>
  <c r="E37" i="1"/>
  <c r="D37" i="1"/>
  <c r="D22" i="1" s="1"/>
  <c r="D6" i="1" s="1"/>
  <c r="C37" i="1"/>
  <c r="C19" i="1"/>
  <c r="C17" i="1"/>
  <c r="C13" i="1"/>
  <c r="C8" i="1"/>
  <c r="D39" i="1" l="1"/>
  <c r="E39" i="1"/>
  <c r="G39" i="1"/>
  <c r="L39" i="1" s="1"/>
  <c r="I37" i="1"/>
  <c r="E22" i="1"/>
  <c r="E6" i="1" s="1"/>
  <c r="L42" i="1"/>
  <c r="L37" i="1"/>
  <c r="I42" i="1"/>
  <c r="F162" i="1"/>
  <c r="I40" i="1"/>
  <c r="I50" i="1"/>
  <c r="I30" i="1"/>
  <c r="I23" i="1"/>
  <c r="I19" i="1"/>
  <c r="I13" i="1"/>
  <c r="I8" i="1"/>
  <c r="C22" i="1"/>
  <c r="I17" i="1"/>
  <c r="I14" i="1"/>
  <c r="J34" i="1"/>
  <c r="K34" i="1"/>
  <c r="J37" i="1"/>
  <c r="K14" i="1"/>
  <c r="K8" i="1"/>
  <c r="K13" i="1"/>
  <c r="K17" i="1"/>
  <c r="K19" i="1"/>
  <c r="K23" i="1"/>
  <c r="K30" i="1"/>
  <c r="K40" i="1"/>
  <c r="J40" i="1"/>
  <c r="J30" i="1"/>
  <c r="J13" i="1"/>
  <c r="J23" i="1"/>
  <c r="J19" i="1"/>
  <c r="J17" i="1"/>
  <c r="J14" i="1"/>
  <c r="J8" i="1"/>
  <c r="D52" i="1"/>
  <c r="C16" i="1"/>
  <c r="C7" i="1" s="1"/>
  <c r="K50" i="1"/>
  <c r="H37" i="1"/>
  <c r="K42" i="1"/>
  <c r="L22" i="1" l="1"/>
  <c r="E52" i="1"/>
  <c r="I16" i="1"/>
  <c r="I39" i="1"/>
  <c r="I22" i="1"/>
  <c r="C6" i="1"/>
  <c r="C52" i="1" s="1"/>
  <c r="K39" i="1"/>
  <c r="J39" i="1"/>
  <c r="K22" i="1"/>
  <c r="J22" i="1"/>
  <c r="K16" i="1"/>
  <c r="J16" i="1"/>
  <c r="L6" i="1" l="1"/>
  <c r="G52" i="1"/>
  <c r="H45" i="1" s="1"/>
  <c r="I6" i="1"/>
  <c r="K6" i="1"/>
  <c r="K7" i="1"/>
  <c r="J6" i="1"/>
  <c r="E175" i="1"/>
  <c r="H36" i="1" l="1"/>
  <c r="H28" i="1"/>
  <c r="H29" i="1"/>
  <c r="J49" i="1"/>
  <c r="H49" i="1"/>
  <c r="H12" i="1"/>
  <c r="H11" i="1"/>
  <c r="J48" i="1"/>
  <c r="H48" i="1"/>
  <c r="L52" i="1"/>
  <c r="H33" i="1"/>
  <c r="J47" i="1"/>
  <c r="H47" i="1"/>
  <c r="H25" i="1"/>
  <c r="H46" i="1"/>
  <c r="J46" i="1"/>
  <c r="I52" i="1"/>
  <c r="C55" i="1"/>
  <c r="I176" i="1"/>
  <c r="I174" i="1"/>
  <c r="I173" i="1"/>
  <c r="I163" i="1"/>
  <c r="I157" i="1"/>
  <c r="I155" i="1"/>
  <c r="I154" i="1"/>
  <c r="I153" i="1"/>
  <c r="I150" i="1"/>
  <c r="I149" i="1"/>
  <c r="I148" i="1"/>
  <c r="I146" i="1"/>
  <c r="I145" i="1"/>
  <c r="I143" i="1"/>
  <c r="I142" i="1"/>
  <c r="I141" i="1"/>
  <c r="I139" i="1"/>
  <c r="I137" i="1"/>
  <c r="I136" i="1"/>
  <c r="I133" i="1"/>
  <c r="I132" i="1"/>
  <c r="I131" i="1"/>
  <c r="I129" i="1"/>
  <c r="I128" i="1"/>
  <c r="I125" i="1"/>
  <c r="I123" i="1"/>
  <c r="I119" i="1"/>
  <c r="I118" i="1"/>
  <c r="I117" i="1"/>
  <c r="I116" i="1"/>
  <c r="I115" i="1"/>
  <c r="I113" i="1"/>
  <c r="I106" i="1"/>
  <c r="I104" i="1"/>
  <c r="I102" i="1"/>
  <c r="I99" i="1"/>
  <c r="I95" i="1"/>
  <c r="I94" i="1"/>
  <c r="I93" i="1"/>
  <c r="I92" i="1"/>
  <c r="I91" i="1"/>
  <c r="I89" i="1"/>
  <c r="I87" i="1"/>
  <c r="I85" i="1"/>
  <c r="I83" i="1"/>
  <c r="I81" i="1"/>
  <c r="I79" i="1"/>
  <c r="I73" i="1"/>
  <c r="I72" i="1"/>
  <c r="I71" i="1"/>
  <c r="I69" i="1"/>
  <c r="I68" i="1"/>
  <c r="I66" i="1"/>
  <c r="I65" i="1"/>
  <c r="I64" i="1"/>
  <c r="I61" i="1"/>
  <c r="I60" i="1"/>
  <c r="I58" i="1"/>
  <c r="I57" i="1"/>
  <c r="I56" i="1"/>
  <c r="D55" i="1"/>
  <c r="I77" i="1" l="1"/>
  <c r="K95" i="1"/>
  <c r="E172" i="1"/>
  <c r="E84" i="1" l="1"/>
  <c r="I84" i="1" s="1"/>
  <c r="I97" i="1"/>
  <c r="K97" i="1"/>
  <c r="J97" i="1"/>
  <c r="L97" i="1"/>
  <c r="E177" i="1" l="1"/>
  <c r="H35" i="1" l="1"/>
  <c r="H34" i="1"/>
  <c r="H42" i="1"/>
  <c r="H26" i="1"/>
  <c r="H44" i="1"/>
  <c r="H43" i="1"/>
  <c r="H51" i="1"/>
  <c r="H41" i="1"/>
  <c r="H31" i="1"/>
  <c r="H27" i="1"/>
  <c r="H24" i="1"/>
  <c r="H20" i="1"/>
  <c r="H18" i="1"/>
  <c r="H15" i="1"/>
  <c r="H9" i="1"/>
  <c r="H32" i="1"/>
  <c r="H21" i="1"/>
  <c r="H10" i="1"/>
  <c r="H8" i="1"/>
  <c r="H14" i="1"/>
  <c r="H16" i="1"/>
  <c r="H23" i="1"/>
  <c r="H50" i="1"/>
  <c r="H17" i="1"/>
  <c r="H13" i="1"/>
  <c r="H7" i="1"/>
  <c r="H19" i="1"/>
  <c r="H40" i="1"/>
  <c r="H30" i="1"/>
  <c r="H39" i="1"/>
  <c r="H22" i="1"/>
  <c r="H6" i="1"/>
  <c r="J51" i="1"/>
  <c r="J42" i="1"/>
  <c r="J50" i="1"/>
  <c r="H52" i="1"/>
  <c r="K52" i="1"/>
  <c r="J52" i="1"/>
  <c r="J132" i="1" l="1"/>
  <c r="K132" i="1"/>
  <c r="L132" i="1"/>
  <c r="D175" i="1" l="1"/>
  <c r="G175" i="1"/>
  <c r="D177" i="1"/>
  <c r="G177" i="1"/>
  <c r="I177" i="1" s="1"/>
  <c r="L176" i="1"/>
  <c r="K176" i="1"/>
  <c r="J176" i="1"/>
  <c r="L173" i="1"/>
  <c r="K173" i="1"/>
  <c r="J173" i="1"/>
  <c r="C172" i="1"/>
  <c r="C177" i="1"/>
  <c r="E55" i="1"/>
  <c r="L72" i="1"/>
  <c r="L155" i="1"/>
  <c r="K155" i="1"/>
  <c r="J155" i="1"/>
  <c r="L154" i="1"/>
  <c r="K154" i="1"/>
  <c r="J154" i="1"/>
  <c r="L153" i="1"/>
  <c r="K153" i="1"/>
  <c r="J153" i="1"/>
  <c r="L133" i="1"/>
  <c r="K133" i="1"/>
  <c r="J133" i="1"/>
  <c r="L131" i="1"/>
  <c r="K131" i="1"/>
  <c r="J131" i="1"/>
  <c r="L73" i="1"/>
  <c r="K73" i="1"/>
  <c r="J73" i="1"/>
  <c r="L71" i="1"/>
  <c r="K71" i="1"/>
  <c r="J71" i="1"/>
  <c r="D147" i="1"/>
  <c r="E147" i="1"/>
  <c r="J55" i="1" l="1"/>
  <c r="K174" i="1"/>
  <c r="I172" i="1"/>
  <c r="I55" i="1"/>
  <c r="I175" i="1"/>
  <c r="I147" i="1"/>
  <c r="L174" i="1"/>
  <c r="J174" i="1"/>
  <c r="K177" i="1"/>
  <c r="K175" i="1"/>
  <c r="L175" i="1"/>
  <c r="J175" i="1"/>
  <c r="K172" i="1"/>
  <c r="L172" i="1"/>
  <c r="J172" i="1"/>
  <c r="J72" i="1"/>
  <c r="J177" i="1"/>
  <c r="L177" i="1"/>
  <c r="K72" i="1"/>
  <c r="L94" i="1" l="1"/>
  <c r="J94" i="1"/>
  <c r="K94" i="1"/>
  <c r="L93" i="1"/>
  <c r="J93" i="1"/>
  <c r="K93" i="1"/>
  <c r="J64" i="1" l="1"/>
  <c r="L64" i="1"/>
  <c r="J83" i="1" l="1"/>
  <c r="K83" i="1"/>
  <c r="L83" i="1"/>
  <c r="D134" i="1" l="1"/>
  <c r="E135" i="1"/>
  <c r="C134" i="1"/>
  <c r="J89" i="1"/>
  <c r="D126" i="1"/>
  <c r="E126" i="1"/>
  <c r="I127" i="1"/>
  <c r="C126" i="1"/>
  <c r="J56" i="1"/>
  <c r="K56" i="1"/>
  <c r="J57" i="1"/>
  <c r="K57" i="1"/>
  <c r="J58" i="1"/>
  <c r="K58" i="1"/>
  <c r="J61" i="1"/>
  <c r="K61" i="1"/>
  <c r="L61" i="1"/>
  <c r="J65" i="1"/>
  <c r="K65" i="1"/>
  <c r="L65" i="1"/>
  <c r="J66" i="1"/>
  <c r="K66" i="1"/>
  <c r="L66" i="1"/>
  <c r="J68" i="1"/>
  <c r="K68" i="1"/>
  <c r="L68" i="1"/>
  <c r="J69" i="1"/>
  <c r="K69" i="1"/>
  <c r="L69" i="1"/>
  <c r="J79" i="1"/>
  <c r="K79" i="1"/>
  <c r="L79" i="1"/>
  <c r="J85" i="1"/>
  <c r="K85" i="1"/>
  <c r="L85" i="1"/>
  <c r="J87" i="1"/>
  <c r="K87" i="1"/>
  <c r="L87" i="1"/>
  <c r="K89" i="1"/>
  <c r="L89" i="1"/>
  <c r="J91" i="1"/>
  <c r="K91" i="1"/>
  <c r="L91" i="1"/>
  <c r="J92" i="1"/>
  <c r="K92" i="1"/>
  <c r="L92" i="1"/>
  <c r="J95" i="1"/>
  <c r="L95" i="1"/>
  <c r="J102" i="1"/>
  <c r="K102" i="1"/>
  <c r="L102" i="1"/>
  <c r="J123" i="1"/>
  <c r="L123" i="1"/>
  <c r="J125" i="1"/>
  <c r="K125" i="1"/>
  <c r="L125" i="1"/>
  <c r="J104" i="1"/>
  <c r="L104" i="1"/>
  <c r="J106" i="1"/>
  <c r="K106" i="1"/>
  <c r="L106" i="1"/>
  <c r="J113" i="1"/>
  <c r="K113" i="1"/>
  <c r="L113" i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8" i="1"/>
  <c r="K128" i="1"/>
  <c r="L128" i="1"/>
  <c r="J129" i="1"/>
  <c r="K129" i="1"/>
  <c r="L129" i="1"/>
  <c r="J141" i="1"/>
  <c r="K141" i="1"/>
  <c r="L141" i="1"/>
  <c r="J142" i="1"/>
  <c r="K142" i="1"/>
  <c r="L142" i="1"/>
  <c r="J143" i="1"/>
  <c r="K143" i="1"/>
  <c r="L143" i="1"/>
  <c r="J136" i="1"/>
  <c r="K136" i="1"/>
  <c r="L136" i="1"/>
  <c r="J137" i="1"/>
  <c r="K137" i="1"/>
  <c r="L137" i="1"/>
  <c r="J139" i="1"/>
  <c r="K139" i="1"/>
  <c r="L139" i="1"/>
  <c r="J145" i="1"/>
  <c r="K145" i="1"/>
  <c r="L145" i="1"/>
  <c r="J146" i="1"/>
  <c r="L146" i="1"/>
  <c r="J148" i="1"/>
  <c r="K148" i="1"/>
  <c r="L148" i="1"/>
  <c r="J149" i="1"/>
  <c r="K149" i="1"/>
  <c r="L149" i="1"/>
  <c r="J150" i="1"/>
  <c r="K150" i="1"/>
  <c r="L150" i="1"/>
  <c r="J157" i="1"/>
  <c r="K157" i="1"/>
  <c r="L157" i="1"/>
  <c r="J81" i="1"/>
  <c r="K81" i="1"/>
  <c r="L81" i="1"/>
  <c r="J99" i="1"/>
  <c r="K99" i="1"/>
  <c r="L99" i="1"/>
  <c r="J60" i="1"/>
  <c r="K60" i="1"/>
  <c r="L60" i="1"/>
  <c r="D144" i="1"/>
  <c r="E144" i="1"/>
  <c r="G144" i="1"/>
  <c r="C144" i="1"/>
  <c r="D156" i="1"/>
  <c r="E156" i="1"/>
  <c r="G156" i="1"/>
  <c r="C156" i="1"/>
  <c r="C160" i="1" l="1"/>
  <c r="D160" i="1"/>
  <c r="J135" i="1"/>
  <c r="E134" i="1"/>
  <c r="E160" i="1" s="1"/>
  <c r="I135" i="1"/>
  <c r="I156" i="1"/>
  <c r="I144" i="1"/>
  <c r="I103" i="1"/>
  <c r="K127" i="1"/>
  <c r="L135" i="1"/>
  <c r="J127" i="1"/>
  <c r="G134" i="1"/>
  <c r="K134" i="1" s="1"/>
  <c r="G126" i="1"/>
  <c r="K135" i="1"/>
  <c r="L127" i="1"/>
  <c r="L156" i="1"/>
  <c r="J156" i="1"/>
  <c r="L147" i="1"/>
  <c r="J147" i="1"/>
  <c r="L144" i="1"/>
  <c r="J144" i="1"/>
  <c r="L103" i="1"/>
  <c r="J103" i="1"/>
  <c r="L84" i="1"/>
  <c r="J84" i="1"/>
  <c r="L77" i="1"/>
  <c r="J77" i="1"/>
  <c r="K156" i="1"/>
  <c r="K147" i="1"/>
  <c r="K144" i="1"/>
  <c r="K126" i="1"/>
  <c r="K103" i="1"/>
  <c r="K84" i="1"/>
  <c r="K77" i="1"/>
  <c r="G160" i="1" l="1"/>
  <c r="I126" i="1"/>
  <c r="J126" i="1"/>
  <c r="I134" i="1"/>
  <c r="J134" i="1"/>
  <c r="L134" i="1"/>
  <c r="L126" i="1"/>
  <c r="H76" i="1" l="1"/>
  <c r="H74" i="1"/>
  <c r="H160" i="1"/>
  <c r="H120" i="1"/>
  <c r="H159" i="1"/>
  <c r="H158" i="1"/>
  <c r="H121" i="1"/>
  <c r="H151" i="1"/>
  <c r="H112" i="1"/>
  <c r="H110" i="1"/>
  <c r="H124" i="1"/>
  <c r="H108" i="1"/>
  <c r="H100" i="1"/>
  <c r="H109" i="1"/>
  <c r="H107" i="1"/>
  <c r="H88" i="1"/>
  <c r="H96" i="1"/>
  <c r="I160" i="1"/>
  <c r="H63" i="1"/>
  <c r="H97" i="1"/>
  <c r="K160" i="1"/>
  <c r="L160" i="1"/>
  <c r="H72" i="1"/>
  <c r="H73" i="1"/>
  <c r="H64" i="1"/>
  <c r="H154" i="1"/>
  <c r="H94" i="1"/>
  <c r="H133" i="1"/>
  <c r="H175" i="1"/>
  <c r="H83" i="1"/>
  <c r="H93" i="1"/>
  <c r="H71" i="1"/>
  <c r="H131" i="1"/>
  <c r="H153" i="1"/>
  <c r="H177" i="1"/>
  <c r="H174" i="1"/>
  <c r="H132" i="1"/>
  <c r="H155" i="1"/>
  <c r="H172" i="1"/>
  <c r="H173" i="1"/>
  <c r="H176" i="1"/>
  <c r="L167" i="1"/>
  <c r="L166" i="1"/>
  <c r="K166" i="1"/>
  <c r="K167" i="1"/>
  <c r="J166" i="1"/>
  <c r="J167" i="1"/>
  <c r="E165" i="1"/>
  <c r="G165" i="1"/>
  <c r="H169" i="1" s="1"/>
  <c r="K55" i="1"/>
  <c r="J160" i="1"/>
  <c r="J165" i="1" l="1"/>
  <c r="H56" i="1"/>
  <c r="H57" i="1"/>
  <c r="H58" i="1"/>
  <c r="H61" i="1"/>
  <c r="H65" i="1"/>
  <c r="H66" i="1"/>
  <c r="H68" i="1"/>
  <c r="H69" i="1"/>
  <c r="H79" i="1"/>
  <c r="H85" i="1"/>
  <c r="H87" i="1"/>
  <c r="H89" i="1"/>
  <c r="H91" i="1"/>
  <c r="H92" i="1"/>
  <c r="H95" i="1"/>
  <c r="H102" i="1"/>
  <c r="H123" i="1"/>
  <c r="H125" i="1"/>
  <c r="H104" i="1"/>
  <c r="H106" i="1"/>
  <c r="H113" i="1"/>
  <c r="H115" i="1"/>
  <c r="H116" i="1"/>
  <c r="H117" i="1"/>
  <c r="H118" i="1"/>
  <c r="H119" i="1"/>
  <c r="H127" i="1"/>
  <c r="H128" i="1"/>
  <c r="H129" i="1"/>
  <c r="H141" i="1"/>
  <c r="H142" i="1"/>
  <c r="H143" i="1"/>
  <c r="H135" i="1"/>
  <c r="H136" i="1"/>
  <c r="H137" i="1"/>
  <c r="H139" i="1"/>
  <c r="H145" i="1"/>
  <c r="H146" i="1"/>
  <c r="H148" i="1"/>
  <c r="H149" i="1"/>
  <c r="H150" i="1"/>
  <c r="H157" i="1"/>
  <c r="H81" i="1"/>
  <c r="H99" i="1"/>
  <c r="H60" i="1"/>
  <c r="H156" i="1"/>
  <c r="H147" i="1"/>
  <c r="H144" i="1"/>
  <c r="H134" i="1"/>
  <c r="H126" i="1"/>
  <c r="H103" i="1"/>
  <c r="H84" i="1"/>
  <c r="H77" i="1"/>
  <c r="L165" i="1"/>
  <c r="H55" i="1"/>
  <c r="L55" i="1"/>
  <c r="J170" i="1" l="1"/>
  <c r="K170" i="1"/>
  <c r="L170" i="1"/>
  <c r="C162" i="1"/>
  <c r="C168" i="1"/>
  <c r="C164" i="1" s="1"/>
  <c r="D168" i="1" l="1"/>
  <c r="D164" i="1" s="1"/>
  <c r="D162" i="1"/>
  <c r="E162" i="1"/>
  <c r="E168" i="1"/>
  <c r="E164" i="1" s="1"/>
  <c r="L169" i="1" l="1"/>
  <c r="G162" i="1" l="1"/>
  <c r="G168" i="1" l="1"/>
  <c r="J169" i="1"/>
  <c r="L162" i="1"/>
  <c r="J162" i="1"/>
  <c r="H162" i="1"/>
  <c r="K162" i="1"/>
  <c r="L168" i="1" l="1"/>
  <c r="K168" i="1"/>
  <c r="J168" i="1"/>
  <c r="G164" i="1"/>
  <c r="I164" i="1" s="1"/>
  <c r="J164" i="1" l="1"/>
  <c r="H168" i="1"/>
  <c r="K164" i="1"/>
  <c r="H164" i="1"/>
  <c r="L164" i="1"/>
</calcChain>
</file>

<file path=xl/sharedStrings.xml><?xml version="1.0" encoding="utf-8"?>
<sst xmlns="http://schemas.openxmlformats.org/spreadsheetml/2006/main" count="282" uniqueCount="239">
  <si>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</si>
  <si>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</si>
  <si>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</si>
  <si>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</si>
  <si>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</si>
  <si>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</si>
  <si>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</si>
  <si>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</si>
  <si>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</si>
  <si>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</si>
  <si>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</si>
  <si>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</si>
  <si>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</si>
  <si>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</si>
  <si>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</si>
  <si>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</si>
  <si>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</si>
  <si>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</si>
  <si>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</si>
  <si>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</si>
  <si>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</si>
  <si>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</si>
  <si>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</si>
  <si>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</si>
  <si>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</si>
  <si>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</si>
  <si>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</si>
  <si>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</si>
  <si>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</si>
  <si>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</si>
  <si>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</si>
  <si>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</si>
  <si>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</si>
  <si>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</si>
  <si>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</si>
  <si>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</si>
  <si>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</si>
  <si>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</si>
  <si>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</si>
  <si>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</si>
  <si>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</si>
  <si>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</si>
  <si>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</si>
  <si>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</si>
  <si>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</si>
  <si>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</si>
  <si>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</si>
  <si>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</si>
  <si>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</si>
  <si>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</si>
  <si>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 xml:space="preserve">Дотации бюджетам субъектов Российской Федерации и муниципальных образований 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</si>
  <si>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</si>
  <si>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</si>
  <si>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</si>
  <si>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</si>
  <si>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</si>
  <si>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</si>
  <si>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</si>
  <si>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</si>
  <si>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</si>
  <si>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</si>
  <si>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</si>
  <si>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</si>
  <si>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</si>
  <si>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</si>
  <si>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</si>
  <si>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</si>
  <si>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</si>
  <si>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</si>
  <si>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</si>
  <si>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</si>
  <si>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</si>
  <si>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</si>
  <si>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</si>
  <si>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</si>
  <si>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</si>
  <si>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</si>
  <si>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</si>
  <si>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</si>
  <si>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</si>
  <si>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</si>
  <si>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</si>
  <si>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</si>
  <si>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</si>
  <si>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</si>
  <si>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</si>
  <si>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</si>
  <si>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0804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</si>
  <si>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</si>
  <si>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</si>
  <si>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</si>
  <si>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</si>
  <si>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</si>
  <si>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</si>
  <si>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</si>
  <si>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</si>
  <si>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</si>
  <si>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</si>
  <si>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</si>
  <si>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</si>
  <si>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</si>
  <si>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</si>
  <si>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</si>
  <si>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</si>
  <si>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</si>
  <si>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</si>
  <si>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</si>
  <si>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</si>
  <si>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содержание автомобильных дорог общего пользования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</si>
  <si>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</si>
  <si>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</si>
  <si>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</si>
  <si>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</si>
  <si>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</si>
  <si>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прочие мероприятия по благоустройству городских округов и поселений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</si>
  <si>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</si>
  <si>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</si>
  <si>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</si>
  <si>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</si>
  <si>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</si>
  <si>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>Другие вопросы в области культуры, кинематографии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</si>
  <si>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</si>
  <si>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</si>
  <si>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</si>
  <si>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</si>
  <si>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</si>
  <si>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</si>
  <si>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</si>
  <si>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</si>
  <si>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</si>
  <si>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</si>
  <si>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</si>
  <si>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</si>
  <si>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</si>
  <si>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</si>
  <si>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</si>
  <si>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</si>
  <si>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</si>
  <si>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</si>
  <si>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</si>
  <si>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</si>
  <si>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134 1 11 05013 10 0000 120</t>
  </si>
  <si>
    <t>104 1 14 02053 10 0000 410</t>
  </si>
  <si>
    <t>134 1 14 06013 10 0000 430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</si>
  <si>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</si>
  <si>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</si>
  <si>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</si>
  <si>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</si>
  <si>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</si>
  <si>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</si>
  <si>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</si>
  <si>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</si>
  <si>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</si>
  <si>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</si>
  <si>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</si>
  <si>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</si>
  <si>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</si>
  <si>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</si>
  <si>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Из них по разделу 0700</t>
  </si>
  <si>
    <t>Из них по разделу 0800</t>
  </si>
  <si>
    <t>Из них по разделу 1100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</si>
  <si>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</si>
  <si>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</si>
  <si>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</si>
  <si>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</si>
  <si>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</si>
  <si>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</si>
  <si>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</si>
  <si>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161 1 16 33050 10 0000 140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</si>
  <si>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</si>
  <si>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104 1 14 06025 10 0000 430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</si>
  <si>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</si>
  <si>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</si>
  <si>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</si>
  <si>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</si>
  <si>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 xml:space="preserve">148 2 02 04999 10 0001 151 </t>
  </si>
  <si>
    <t>Иные межбюджетные трансферты бюджетам поселений из бюджета Энгельсского муниципального района</t>
  </si>
  <si>
    <t>Иные межбюджетные трансферты</t>
  </si>
  <si>
    <t>000 2 02 04000 00 0000 151</t>
  </si>
  <si>
    <t>Уд. вес
в 2014 г.</t>
  </si>
  <si>
    <t>0104</t>
  </si>
  <si>
    <t xml:space="preserve">- межбюджетные трансферты на осуществление переданных полномочий по решению вопросов местного значения поселений 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</si>
  <si>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</si>
  <si>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</si>
  <si>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</si>
  <si>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</si>
  <si>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</si>
  <si>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</si>
  <si>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</si>
  <si>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переселение граждан из  аварийного жилищного фонда  (в рамках МЦП)</t>
  </si>
  <si>
    <t>0502</t>
  </si>
  <si>
    <t>Коммунальное хозяйство</t>
  </si>
  <si>
    <t>Физическая культура, в т.ч.:</t>
  </si>
  <si>
    <t>1105</t>
  </si>
  <si>
    <t>Другие вопросы в области физической культуры и спорта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</si>
  <si>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</si>
  <si>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</si>
  <si>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</si>
  <si>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</si>
  <si>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100 1 03 02000 00 0000 000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</si>
  <si>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</si>
  <si>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</si>
  <si>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</si>
  <si>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</si>
  <si>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</si>
  <si>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</si>
  <si>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</si>
  <si>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Анализ исполнения  бюджета муниципального образования город Энгельс за 1 полугодие 2014 года</t>
  </si>
  <si>
    <t>Уточненный годовой план 
на 01.07.2014 г.</t>
  </si>
  <si>
    <t>План 1 полугодия
.2014 г.</t>
  </si>
  <si>
    <t>Фактическое
исполнение
на 01.07.2013 г.</t>
  </si>
  <si>
    <t>Процент 
исполнения плана 
1 полугодия</t>
  </si>
  <si>
    <t>Сравнение исполнения на 01.07.2013 и 2014 гг.      (гр.7-гр.6)</t>
  </si>
  <si>
    <t>Фактическое
исполнение
на 01.07.2014 г.</t>
  </si>
  <si>
    <t>ДОХОДЫ БЮДЖЕТОВ БЮДЖЕТНОЙ СИСТЕМЫ РОССИЙСКОЙ ФЕДЕРАЦИИ ОТ ВОЗВРАТА БЮДЖЕТАМИ БЮДЖЕТНОЙ СИСТЕМЫ РОССИЙСКОЙ ФЕДЕРАЦИИ И СУБСИДИЙ, СУБВЕНЦИЙ И ИНЫХ МЕЖБЮДЖЕТНЫХ ТРАНСФЕРТОВ, ИМЕЮЩИХ ЦЕЛЕВОЕ НАЗНАЧЕНИЕ, ПРОШЛЫХ ЛЕТ</t>
  </si>
  <si>
    <t>000 2 18 00000 00 0000 000</t>
  </si>
  <si>
    <t>119 2 18 05010 10 0000 151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</si>
  <si>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</si>
  <si>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119 219 05000 10 0000 151</t>
  </si>
  <si>
    <t>2610640, 2900430, 3900440</t>
  </si>
  <si>
    <t>- ремонт дворовых территорий многоквартирных домов   (в рамках ВЦП на 2014 год)</t>
  </si>
  <si>
    <t>- замена и модернизация лифтового оборудования  (в рамках МЦП на 2014 год)</t>
  </si>
  <si>
    <t>в т.ч. :субсидии МБУ</t>
  </si>
  <si>
    <t>МБТ ЭМР</t>
  </si>
  <si>
    <t>4000000</t>
  </si>
  <si>
    <t>4200000</t>
  </si>
  <si>
    <t>000 1 13 00000 00 0000 000</t>
  </si>
  <si>
    <t>ДОХОДЫ ОТ ОКАЗАНИЯ ПЛАТНЫХ УСЛУГ (РАБОТ) И КОМПЕНСАЦИИ ЗАТРАТ ГОСУДАРСТВА</t>
  </si>
  <si>
    <t>000 1 13 02990 00 0000 130</t>
  </si>
  <si>
    <t>134 1 11 07015 10 0000 120</t>
  </si>
  <si>
    <t>134 1 11 09045 10 0000 120</t>
  </si>
  <si>
    <t>134 1 11 05000 10 0000 120</t>
  </si>
  <si>
    <t>Субвенции от других  бюджетов бюджетной системы РФ</t>
  </si>
  <si>
    <t>000 2 02 03000 00 0000 151</t>
  </si>
  <si>
    <t>0200</t>
  </si>
  <si>
    <t>НАЦИОНАЛЬНАЯ ОБОРОНА</t>
  </si>
  <si>
    <t>0203</t>
  </si>
  <si>
    <t>Военно-учетные столы (ПМО)</t>
  </si>
  <si>
    <t>Прочие доходы от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</si>
</sst>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7" fontId="8" fillId="0" borderId="1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4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justify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right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3" fillId="7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8" fontId="12" fillId="2" borderId="1" xfId="0" applyNumberFormat="1" applyFont="1" applyFill="1" applyBorder="1" applyAlignment="1" applyProtection="1">
      <alignment horizontal="right" vertical="center"/>
    </xf>
    <xf numFmtId="168" fontId="11" fillId="2" borderId="1" xfId="0" applyNumberFormat="1" applyFont="1" applyFill="1" applyBorder="1" applyAlignment="1" applyProtection="1">
      <alignment horizontal="right" vertical="center"/>
    </xf>
    <xf numFmtId="167" fontId="4" fillId="5" borderId="1" xfId="0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  <protection locked="0"/>
    </xf>
    <xf numFmtId="167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5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justify" vertical="center" wrapText="1"/>
    </xf>
    <xf numFmtId="167" fontId="2" fillId="5" borderId="2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justify" vertical="center"/>
    </xf>
    <xf numFmtId="0" fontId="9" fillId="6" borderId="1" xfId="0" applyNumberFormat="1" applyFont="1" applyFill="1" applyBorder="1" applyAlignment="1">
      <alignment horizontal="justify" vertical="center"/>
    </xf>
    <xf numFmtId="165" fontId="23" fillId="2" borderId="1" xfId="3" applyNumberFormat="1" applyFont="1" applyFill="1" applyBorder="1" applyAlignment="1">
      <alignment horizontal="right" vertical="center"/>
    </xf>
    <xf numFmtId="168" fontId="23" fillId="2" borderId="1" xfId="0" applyNumberFormat="1" applyFont="1" applyFill="1" applyBorder="1" applyAlignment="1">
      <alignment horizontal="right" vertical="center"/>
    </xf>
    <xf numFmtId="167" fontId="23" fillId="2" borderId="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right" vertical="center"/>
    </xf>
    <xf numFmtId="49" fontId="23" fillId="6" borderId="1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justify" vertical="center"/>
    </xf>
    <xf numFmtId="167" fontId="23" fillId="6" borderId="1" xfId="0" applyNumberFormat="1" applyFont="1" applyFill="1" applyBorder="1" applyAlignment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5" fontId="9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167" fontId="2" fillId="0" borderId="2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7" fontId="11" fillId="8" borderId="1" xfId="0" applyNumberFormat="1" applyFont="1" applyFill="1" applyBorder="1" applyAlignment="1" applyProtection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  <protection locked="0"/>
    </xf>
    <xf numFmtId="167" fontId="12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2" xfId="0" applyNumberFormat="1" applyFont="1" applyFill="1" applyBorder="1" applyAlignment="1" applyProtection="1">
      <alignment horizontal="right" vertical="center"/>
    </xf>
    <xf numFmtId="167" fontId="9" fillId="8" borderId="1" xfId="0" applyNumberFormat="1" applyFont="1" applyFill="1" applyBorder="1" applyAlignment="1" applyProtection="1">
      <alignment horizontal="right" vertical="center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7" fontId="8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 wrapText="1"/>
    </xf>
    <xf numFmtId="167" fontId="8" fillId="8" borderId="1" xfId="0" applyNumberFormat="1" applyFont="1" applyFill="1" applyBorder="1" applyAlignment="1">
      <alignment horizontal="right" vertical="center" wrapText="1"/>
    </xf>
    <xf numFmtId="164" fontId="3" fillId="8" borderId="1" xfId="3" applyNumberFormat="1" applyFont="1" applyFill="1" applyBorder="1" applyAlignment="1">
      <alignment horizontal="right" vertical="center"/>
    </xf>
    <xf numFmtId="166" fontId="3" fillId="8" borderId="1" xfId="4" applyNumberFormat="1" applyFont="1" applyFill="1" applyBorder="1" applyAlignment="1">
      <alignment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23" fillId="8" borderId="1" xfId="0" applyNumberFormat="1" applyFont="1" applyFill="1" applyBorder="1" applyAlignment="1">
      <alignment horizontal="right" vertical="center"/>
    </xf>
    <xf numFmtId="167" fontId="2" fillId="8" borderId="2" xfId="0" applyNumberFormat="1" applyFont="1" applyFill="1" applyBorder="1" applyAlignment="1">
      <alignment horizontal="right" vertical="center"/>
    </xf>
    <xf numFmtId="167" fontId="3" fillId="8" borderId="0" xfId="0" applyNumberFormat="1" applyFont="1" applyFill="1" applyBorder="1" applyAlignment="1">
      <alignment horizontal="right" vertical="center"/>
    </xf>
    <xf numFmtId="0" fontId="16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9" fillId="3" borderId="1" xfId="0" applyNumberFormat="1" applyFont="1" applyFill="1" applyBorder="1" applyAlignment="1" applyProtection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7" fontId="9" fillId="6" borderId="2" xfId="0" applyNumberFormat="1" applyFont="1" applyFill="1" applyBorder="1" applyAlignment="1" applyProtection="1">
      <alignment horizontal="right" vertical="center"/>
    </xf>
    <xf numFmtId="167" fontId="9" fillId="6" borderId="1" xfId="0" applyNumberFormat="1" applyFont="1" applyFill="1" applyBorder="1" applyAlignment="1" applyProtection="1">
      <alignment horizontal="right" vertical="center"/>
    </xf>
    <xf numFmtId="167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167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2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2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3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7" fontId="2" fillId="8" borderId="2" xfId="0" applyNumberFormat="1" applyFont="1" applyFill="1" applyBorder="1" applyAlignment="1">
      <alignment horizontal="right" vertical="center"/>
    </xf>
    <xf numFmtId="167" fontId="2" fillId="8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E9D9"/>
      <color rgb="FFB7FFC2"/>
      <color rgb="FFB7F9C2"/>
      <color rgb="FFB7F8C2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84"/>
  <sheetViews>
    <sheetView tabSelected="1" showRuler="0" topLeftCell="B1" zoomScale="115" zoomScaleNormal="115" zoomScaleSheetLayoutView="100" workbookViewId="0">
      <pane ySplit="5" topLeftCell="A131" activePane="bottomLeft" state="frozenSplit"/>
      <selection pane="bottomLeft" activeCell="A134" sqref="A134:L143"/>
    </sheetView>
  </sheetViews>
  <sheetFormatPr defaultColWidth="9.140625" defaultRowHeight="13.5" x14ac:dyDescent="0.2"/>
  <cols>
    <col min="1" max="1" width="25.140625" style="34" customWidth="1"/>
    <col min="2" max="2" width="33.7109375" style="72" customWidth="1"/>
    <col min="3" max="3" width="13" style="72" customWidth="1"/>
    <col min="4" max="4" width="12.5703125" style="73" customWidth="1"/>
    <col min="5" max="5" width="9.5703125" style="74" customWidth="1"/>
    <col min="6" max="6" width="12.85546875" style="74" customWidth="1"/>
    <col min="7" max="7" width="10.28515625" style="196" customWidth="1"/>
    <col min="8" max="8" width="8.140625" style="74" customWidth="1"/>
    <col min="9" max="9" width="11.5703125" style="74" customWidth="1"/>
    <col min="10" max="10" width="9.5703125" style="74" customWidth="1"/>
    <col min="11" max="11" width="10.140625" style="74" customWidth="1"/>
    <col min="12" max="12" width="12.85546875" style="74" customWidth="1"/>
    <col min="13" max="16384" width="9.140625" style="2"/>
  </cols>
  <sheetData>
    <row r="1" spans="1:13" x14ac:dyDescent="0.2">
      <c r="H1" s="244"/>
      <c r="I1" s="244"/>
      <c r="J1" s="244"/>
      <c r="K1" s="244"/>
      <c r="L1" s="244"/>
    </row>
    <row r="2" spans="1:13" ht="16.5" x14ac:dyDescent="0.2">
      <c r="A2" s="247" t="s">
        <v>207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75"/>
    </row>
    <row r="3" spans="1:13" x14ac:dyDescent="0.2">
      <c r="A3" s="76"/>
      <c r="B3" s="77"/>
      <c r="C3" s="77"/>
      <c r="D3" s="78"/>
      <c r="E3" s="79"/>
      <c r="F3" s="14"/>
      <c r="G3" s="197"/>
      <c r="L3" s="34" t="s">
        <v>144</v>
      </c>
    </row>
    <row r="4" spans="1:13" s="13" customFormat="1" ht="51" x14ac:dyDescent="0.2">
      <c r="A4" s="16" t="s">
        <v>18</v>
      </c>
      <c r="B4" s="4" t="s">
        <v>20</v>
      </c>
      <c r="C4" s="157" t="s">
        <v>79</v>
      </c>
      <c r="D4" s="30" t="s">
        <v>208</v>
      </c>
      <c r="E4" s="3" t="s">
        <v>209</v>
      </c>
      <c r="F4" s="3" t="s">
        <v>210</v>
      </c>
      <c r="G4" s="198" t="s">
        <v>213</v>
      </c>
      <c r="H4" s="113" t="s">
        <v>179</v>
      </c>
      <c r="I4" s="113" t="s">
        <v>211</v>
      </c>
      <c r="J4" s="112" t="s">
        <v>19</v>
      </c>
      <c r="K4" s="113" t="s">
        <v>11</v>
      </c>
      <c r="L4" s="114" t="s">
        <v>212</v>
      </c>
    </row>
    <row r="5" spans="1:13" s="47" customFormat="1" ht="11.25" x14ac:dyDescent="0.2">
      <c r="A5" s="46">
        <v>1</v>
      </c>
      <c r="B5" s="80" t="s">
        <v>80</v>
      </c>
      <c r="C5" s="158">
        <v>3</v>
      </c>
      <c r="D5" s="48">
        <v>4</v>
      </c>
      <c r="E5" s="46">
        <v>5</v>
      </c>
      <c r="F5" s="46">
        <v>6</v>
      </c>
      <c r="G5" s="199">
        <v>7</v>
      </c>
      <c r="H5" s="116">
        <v>10</v>
      </c>
      <c r="I5" s="116">
        <v>11</v>
      </c>
      <c r="J5" s="115">
        <v>12</v>
      </c>
      <c r="K5" s="116">
        <v>13</v>
      </c>
      <c r="L5" s="117">
        <v>14</v>
      </c>
    </row>
    <row r="6" spans="1:13" s="15" customFormat="1" ht="33" x14ac:dyDescent="0.2">
      <c r="A6" s="51" t="s">
        <v>28</v>
      </c>
      <c r="B6" s="168" t="s">
        <v>203</v>
      </c>
      <c r="C6" s="159">
        <f>C7+C22</f>
        <v>590513.69999999995</v>
      </c>
      <c r="D6" s="159">
        <f>D7+D22</f>
        <v>612969.4</v>
      </c>
      <c r="E6" s="159">
        <f t="shared" ref="E6:F6" si="0">E7+E22</f>
        <v>248534.5</v>
      </c>
      <c r="F6" s="185">
        <f t="shared" si="0"/>
        <v>245830.3</v>
      </c>
      <c r="G6" s="200">
        <f>G7+G22</f>
        <v>242362.2</v>
      </c>
      <c r="H6" s="152">
        <f t="shared" ref="H6:H35" si="1">G6/Всего_доходов_2003</f>
        <v>0.98099999999999998</v>
      </c>
      <c r="I6" s="154">
        <f>IF(E6=0,"0,0%",G6/E6)</f>
        <v>0.97499999999999998</v>
      </c>
      <c r="J6" s="99">
        <f>G6-D6</f>
        <v>-370607.2</v>
      </c>
      <c r="K6" s="98">
        <f>G6/D6</f>
        <v>0.39500000000000002</v>
      </c>
      <c r="L6" s="126">
        <f>G6-F6</f>
        <v>-3468.1</v>
      </c>
      <c r="M6" s="24"/>
    </row>
    <row r="7" spans="1:13" s="15" customFormat="1" x14ac:dyDescent="0.2">
      <c r="A7" s="51"/>
      <c r="B7" s="52" t="s">
        <v>12</v>
      </c>
      <c r="C7" s="159">
        <f>C9+C11+C13+C16</f>
        <v>512008.9</v>
      </c>
      <c r="D7" s="159">
        <f>D9+D11+D13+D16</f>
        <v>534464.6</v>
      </c>
      <c r="E7" s="159">
        <f t="shared" ref="E7:F7" si="2">E9+E11+E13+E16</f>
        <v>204002.3</v>
      </c>
      <c r="F7" s="185">
        <f t="shared" si="2"/>
        <v>187441.1</v>
      </c>
      <c r="G7" s="200">
        <f>G9+G11+G13+G16+G28</f>
        <v>198075.9</v>
      </c>
      <c r="H7" s="152">
        <f t="shared" si="1"/>
        <v>0.80200000000000005</v>
      </c>
      <c r="I7" s="154">
        <f>IF(E7=0,"0,0%",G7/E7)</f>
        <v>0.97099999999999997</v>
      </c>
      <c r="J7" s="99">
        <f>G7-D7</f>
        <v>-336388.7</v>
      </c>
      <c r="K7" s="98">
        <f t="shared" ref="K7:K41" si="3">G7/D7</f>
        <v>0.371</v>
      </c>
      <c r="L7" s="126">
        <f>G7-F7</f>
        <v>10634.8</v>
      </c>
      <c r="M7" s="24"/>
    </row>
    <row r="8" spans="1:13" s="15" customFormat="1" x14ac:dyDescent="0.2">
      <c r="A8" s="51" t="s">
        <v>29</v>
      </c>
      <c r="B8" s="52" t="s">
        <v>30</v>
      </c>
      <c r="C8" s="159">
        <f>SUM(C9)</f>
        <v>265915</v>
      </c>
      <c r="D8" s="159">
        <f t="shared" ref="D8:F8" si="4">SUM(D9)</f>
        <v>286514.90000000002</v>
      </c>
      <c r="E8" s="159">
        <f t="shared" si="4"/>
        <v>115045.2</v>
      </c>
      <c r="F8" s="185">
        <f t="shared" si="4"/>
        <v>105528.1</v>
      </c>
      <c r="G8" s="200">
        <f>SUM(G9)</f>
        <v>113035.8</v>
      </c>
      <c r="H8" s="152">
        <f t="shared" si="1"/>
        <v>0.45800000000000002</v>
      </c>
      <c r="I8" s="154">
        <f t="shared" ref="I8:I52" si="5">IF(E8=0,"0,0%",G8/E8)</f>
        <v>0.98299999999999998</v>
      </c>
      <c r="J8" s="99">
        <f t="shared" ref="J8:J41" si="6">G8-D8</f>
        <v>-173479.1</v>
      </c>
      <c r="K8" s="98">
        <f t="shared" si="3"/>
        <v>0.39500000000000002</v>
      </c>
      <c r="L8" s="126">
        <f>SUM(L9)</f>
        <v>7507.7</v>
      </c>
      <c r="M8" s="24"/>
    </row>
    <row r="9" spans="1:13" s="15" customFormat="1" x14ac:dyDescent="0.2">
      <c r="A9" s="51" t="s">
        <v>31</v>
      </c>
      <c r="B9" s="125" t="s">
        <v>13</v>
      </c>
      <c r="C9" s="159">
        <f>C10</f>
        <v>265915</v>
      </c>
      <c r="D9" s="159">
        <f t="shared" ref="D9:G9" si="7">D10</f>
        <v>286514.90000000002</v>
      </c>
      <c r="E9" s="159">
        <f t="shared" si="7"/>
        <v>115045.2</v>
      </c>
      <c r="F9" s="185">
        <f t="shared" si="7"/>
        <v>105528.1</v>
      </c>
      <c r="G9" s="200">
        <f t="shared" si="7"/>
        <v>113035.8</v>
      </c>
      <c r="H9" s="152">
        <f t="shared" si="1"/>
        <v>0.45800000000000002</v>
      </c>
      <c r="I9" s="154">
        <f t="shared" si="5"/>
        <v>0.98299999999999998</v>
      </c>
      <c r="J9" s="99">
        <f t="shared" si="6"/>
        <v>-173479.1</v>
      </c>
      <c r="K9" s="98">
        <f t="shared" si="3"/>
        <v>0.39500000000000002</v>
      </c>
      <c r="L9" s="126">
        <f>G9-F9</f>
        <v>7507.7</v>
      </c>
      <c r="M9" s="24"/>
    </row>
    <row r="10" spans="1:13" s="15" customFormat="1" ht="83.25" x14ac:dyDescent="0.2">
      <c r="A10" s="53" t="s">
        <v>145</v>
      </c>
      <c r="B10" s="55" t="s">
        <v>165</v>
      </c>
      <c r="C10" s="160">
        <v>265915</v>
      </c>
      <c r="D10" s="138">
        <v>286514.90000000002</v>
      </c>
      <c r="E10" s="138">
        <v>115045.2</v>
      </c>
      <c r="F10" s="138">
        <f>91793.3+13734.8</f>
        <v>105528.1</v>
      </c>
      <c r="G10" s="201">
        <v>113035.8</v>
      </c>
      <c r="H10" s="147">
        <f t="shared" si="1"/>
        <v>0.45800000000000002</v>
      </c>
      <c r="I10" s="154">
        <f t="shared" si="5"/>
        <v>0.98299999999999998</v>
      </c>
      <c r="J10" s="119">
        <f t="shared" si="6"/>
        <v>-173479.1</v>
      </c>
      <c r="K10" s="118">
        <f t="shared" si="3"/>
        <v>0.39500000000000002</v>
      </c>
      <c r="L10" s="126">
        <f>G10-F10</f>
        <v>7507.7</v>
      </c>
      <c r="M10" s="24"/>
    </row>
    <row r="11" spans="1:13" s="15" customFormat="1" ht="40.5" x14ac:dyDescent="0.2">
      <c r="A11" s="51" t="s">
        <v>198</v>
      </c>
      <c r="B11" s="58" t="s">
        <v>205</v>
      </c>
      <c r="C11" s="159">
        <f>C12</f>
        <v>16120.2</v>
      </c>
      <c r="D11" s="159">
        <f t="shared" ref="D11:G11" si="8">D12</f>
        <v>16120.2</v>
      </c>
      <c r="E11" s="159">
        <f t="shared" si="8"/>
        <v>8215.1</v>
      </c>
      <c r="F11" s="185">
        <f t="shared" si="8"/>
        <v>0</v>
      </c>
      <c r="G11" s="200">
        <f t="shared" si="8"/>
        <v>5953.9</v>
      </c>
      <c r="H11" s="147">
        <f t="shared" si="1"/>
        <v>2.4E-2</v>
      </c>
      <c r="I11" s="154">
        <f t="shared" si="5"/>
        <v>0.72499999999999998</v>
      </c>
      <c r="J11" s="119">
        <f t="shared" si="6"/>
        <v>-10166.299999999999</v>
      </c>
      <c r="K11" s="118">
        <f t="shared" si="3"/>
        <v>0.36899999999999999</v>
      </c>
      <c r="L11" s="126">
        <f>G11-F11</f>
        <v>5953.9</v>
      </c>
      <c r="M11" s="24"/>
    </row>
    <row r="12" spans="1:13" s="15" customFormat="1" ht="40.5" x14ac:dyDescent="0.2">
      <c r="A12" s="53" t="s">
        <v>199</v>
      </c>
      <c r="B12" s="194" t="s">
        <v>206</v>
      </c>
      <c r="C12" s="160">
        <v>16120.2</v>
      </c>
      <c r="D12" s="138">
        <v>16120.2</v>
      </c>
      <c r="E12" s="138">
        <v>8215.1</v>
      </c>
      <c r="F12" s="138">
        <v>0</v>
      </c>
      <c r="G12" s="201">
        <v>5953.9</v>
      </c>
      <c r="H12" s="147">
        <f t="shared" si="1"/>
        <v>2.4E-2</v>
      </c>
      <c r="I12" s="154">
        <f t="shared" si="5"/>
        <v>0.72499999999999998</v>
      </c>
      <c r="J12" s="119">
        <f t="shared" si="6"/>
        <v>-10166.299999999999</v>
      </c>
      <c r="K12" s="118">
        <f t="shared" si="3"/>
        <v>0.36899999999999999</v>
      </c>
      <c r="L12" s="126">
        <f t="shared" ref="L12:L52" si="9">G12-F12</f>
        <v>5953.9</v>
      </c>
      <c r="M12" s="24"/>
    </row>
    <row r="13" spans="1:13" s="22" customFormat="1" x14ac:dyDescent="0.2">
      <c r="A13" s="51" t="s">
        <v>101</v>
      </c>
      <c r="B13" s="58" t="s">
        <v>14</v>
      </c>
      <c r="C13" s="159">
        <f>SUM(C14)</f>
        <v>671</v>
      </c>
      <c r="D13" s="159">
        <f t="shared" ref="D13:G13" si="10">SUM(D14)</f>
        <v>671</v>
      </c>
      <c r="E13" s="159">
        <f t="shared" si="10"/>
        <v>671</v>
      </c>
      <c r="F13" s="185">
        <f t="shared" si="10"/>
        <v>464.7</v>
      </c>
      <c r="G13" s="200">
        <f t="shared" si="10"/>
        <v>703.2</v>
      </c>
      <c r="H13" s="152">
        <f t="shared" si="1"/>
        <v>3.0000000000000001E-3</v>
      </c>
      <c r="I13" s="154">
        <f t="shared" si="5"/>
        <v>1.048</v>
      </c>
      <c r="J13" s="99">
        <f t="shared" si="6"/>
        <v>32.200000000000003</v>
      </c>
      <c r="K13" s="98">
        <f t="shared" si="3"/>
        <v>1.048</v>
      </c>
      <c r="L13" s="126">
        <f t="shared" si="9"/>
        <v>238.5</v>
      </c>
      <c r="M13" s="25"/>
    </row>
    <row r="14" spans="1:13" s="22" customFormat="1" x14ac:dyDescent="0.2">
      <c r="A14" s="51" t="s">
        <v>32</v>
      </c>
      <c r="B14" s="52" t="s">
        <v>0</v>
      </c>
      <c r="C14" s="159">
        <f>C15</f>
        <v>671</v>
      </c>
      <c r="D14" s="159">
        <f t="shared" ref="D14:G14" si="11">D15</f>
        <v>671</v>
      </c>
      <c r="E14" s="159">
        <f t="shared" si="11"/>
        <v>671</v>
      </c>
      <c r="F14" s="185">
        <f t="shared" si="11"/>
        <v>464.7</v>
      </c>
      <c r="G14" s="200">
        <f t="shared" si="11"/>
        <v>703.2</v>
      </c>
      <c r="H14" s="152">
        <f t="shared" si="1"/>
        <v>3.0000000000000001E-3</v>
      </c>
      <c r="I14" s="154">
        <f t="shared" si="5"/>
        <v>1.048</v>
      </c>
      <c r="J14" s="99">
        <f t="shared" si="6"/>
        <v>32.200000000000003</v>
      </c>
      <c r="K14" s="98">
        <f t="shared" si="3"/>
        <v>1.048</v>
      </c>
      <c r="L14" s="126">
        <f t="shared" si="9"/>
        <v>238.5</v>
      </c>
      <c r="M14" s="25"/>
    </row>
    <row r="15" spans="1:13" s="22" customFormat="1" x14ac:dyDescent="0.2">
      <c r="A15" s="53" t="s">
        <v>89</v>
      </c>
      <c r="B15" s="55" t="s">
        <v>0</v>
      </c>
      <c r="C15" s="161">
        <v>671</v>
      </c>
      <c r="D15" s="29">
        <v>671</v>
      </c>
      <c r="E15" s="29">
        <v>671</v>
      </c>
      <c r="F15" s="29">
        <f>430.9+33.8</f>
        <v>464.7</v>
      </c>
      <c r="G15" s="202">
        <v>703.2</v>
      </c>
      <c r="H15" s="147">
        <f t="shared" si="1"/>
        <v>3.0000000000000001E-3</v>
      </c>
      <c r="I15" s="154">
        <f t="shared" si="5"/>
        <v>1.048</v>
      </c>
      <c r="J15" s="119">
        <f t="shared" si="6"/>
        <v>32.200000000000003</v>
      </c>
      <c r="K15" s="118">
        <f t="shared" si="3"/>
        <v>1.048</v>
      </c>
      <c r="L15" s="126">
        <f t="shared" si="9"/>
        <v>238.5</v>
      </c>
      <c r="M15" s="25"/>
    </row>
    <row r="16" spans="1:13" s="22" customFormat="1" x14ac:dyDescent="0.2">
      <c r="A16" s="51" t="s">
        <v>102</v>
      </c>
      <c r="B16" s="52" t="s">
        <v>15</v>
      </c>
      <c r="C16" s="159">
        <f>SUM(C17+C19)</f>
        <v>229302.7</v>
      </c>
      <c r="D16" s="159">
        <f t="shared" ref="D16:G16" si="12">SUM(D17+D19)</f>
        <v>231158.5</v>
      </c>
      <c r="E16" s="159">
        <f t="shared" si="12"/>
        <v>80071</v>
      </c>
      <c r="F16" s="185">
        <f t="shared" si="12"/>
        <v>81448.3</v>
      </c>
      <c r="G16" s="200">
        <f t="shared" si="12"/>
        <v>78363.5</v>
      </c>
      <c r="H16" s="152">
        <f t="shared" si="1"/>
        <v>0.317</v>
      </c>
      <c r="I16" s="154">
        <f t="shared" si="5"/>
        <v>0.97899999999999998</v>
      </c>
      <c r="J16" s="99">
        <f t="shared" si="6"/>
        <v>-152795</v>
      </c>
      <c r="K16" s="98">
        <f t="shared" si="3"/>
        <v>0.33900000000000002</v>
      </c>
      <c r="L16" s="126">
        <f t="shared" si="9"/>
        <v>-3084.8</v>
      </c>
      <c r="M16" s="25"/>
    </row>
    <row r="17" spans="1:13" s="27" customFormat="1" x14ac:dyDescent="0.2">
      <c r="A17" s="51" t="s">
        <v>36</v>
      </c>
      <c r="B17" s="52" t="s">
        <v>35</v>
      </c>
      <c r="C17" s="159">
        <f>C18</f>
        <v>77758</v>
      </c>
      <c r="D17" s="159">
        <f t="shared" ref="D17:G17" si="13">D18</f>
        <v>77758</v>
      </c>
      <c r="E17" s="159">
        <f t="shared" si="13"/>
        <v>13551.6</v>
      </c>
      <c r="F17" s="185">
        <f t="shared" si="13"/>
        <v>14798.3</v>
      </c>
      <c r="G17" s="200">
        <f t="shared" si="13"/>
        <v>13253.8</v>
      </c>
      <c r="H17" s="152">
        <f t="shared" si="1"/>
        <v>5.3999999999999999E-2</v>
      </c>
      <c r="I17" s="154">
        <f t="shared" si="5"/>
        <v>0.97799999999999998</v>
      </c>
      <c r="J17" s="99">
        <f t="shared" si="6"/>
        <v>-64504.2</v>
      </c>
      <c r="K17" s="98">
        <f t="shared" si="3"/>
        <v>0.17</v>
      </c>
      <c r="L17" s="126">
        <f t="shared" si="9"/>
        <v>-1544.5</v>
      </c>
      <c r="M17" s="26"/>
    </row>
    <row r="18" spans="1:13" s="22" customFormat="1" ht="54" x14ac:dyDescent="0.2">
      <c r="A18" s="53" t="s">
        <v>33</v>
      </c>
      <c r="B18" s="55" t="s">
        <v>39</v>
      </c>
      <c r="C18" s="162">
        <v>77758</v>
      </c>
      <c r="D18" s="71">
        <v>77758</v>
      </c>
      <c r="E18" s="71">
        <v>13551.6</v>
      </c>
      <c r="F18" s="71">
        <f>13691.7+1106.6</f>
        <v>14798.3</v>
      </c>
      <c r="G18" s="203">
        <v>13253.8</v>
      </c>
      <c r="H18" s="147">
        <f t="shared" si="1"/>
        <v>5.3999999999999999E-2</v>
      </c>
      <c r="I18" s="154">
        <f t="shared" si="5"/>
        <v>0.97799999999999998</v>
      </c>
      <c r="J18" s="119">
        <f t="shared" si="6"/>
        <v>-64504.2</v>
      </c>
      <c r="K18" s="118">
        <f t="shared" si="3"/>
        <v>0.17</v>
      </c>
      <c r="L18" s="126">
        <f t="shared" si="9"/>
        <v>-1544.5</v>
      </c>
      <c r="M18" s="25"/>
    </row>
    <row r="19" spans="1:13" s="27" customFormat="1" x14ac:dyDescent="0.2">
      <c r="A19" s="51" t="s">
        <v>34</v>
      </c>
      <c r="B19" s="52" t="s">
        <v>16</v>
      </c>
      <c r="C19" s="159">
        <f>SUM(C20:C21)</f>
        <v>151544.70000000001</v>
      </c>
      <c r="D19" s="159">
        <f t="shared" ref="D19:G19" si="14">SUM(D20:D21)</f>
        <v>153400.5</v>
      </c>
      <c r="E19" s="159">
        <f t="shared" si="14"/>
        <v>66519.399999999994</v>
      </c>
      <c r="F19" s="185">
        <f t="shared" si="14"/>
        <v>66650</v>
      </c>
      <c r="G19" s="200">
        <f t="shared" si="14"/>
        <v>65109.7</v>
      </c>
      <c r="H19" s="152">
        <f t="shared" si="1"/>
        <v>0.26400000000000001</v>
      </c>
      <c r="I19" s="154">
        <f t="shared" si="5"/>
        <v>0.97899999999999998</v>
      </c>
      <c r="J19" s="99">
        <f t="shared" si="6"/>
        <v>-88290.8</v>
      </c>
      <c r="K19" s="98">
        <f t="shared" si="3"/>
        <v>0.42399999999999999</v>
      </c>
      <c r="L19" s="126">
        <f t="shared" si="9"/>
        <v>-1540.3</v>
      </c>
      <c r="M19" s="26"/>
    </row>
    <row r="20" spans="1:13" s="27" customFormat="1" ht="81" x14ac:dyDescent="0.2">
      <c r="A20" s="53" t="s">
        <v>37</v>
      </c>
      <c r="B20" s="55" t="s">
        <v>40</v>
      </c>
      <c r="C20" s="162">
        <v>24000</v>
      </c>
      <c r="D20" s="231">
        <v>24855.8</v>
      </c>
      <c r="E20" s="71">
        <v>13655.8</v>
      </c>
      <c r="F20" s="71">
        <f>6084.5+1012.4</f>
        <v>7096.9</v>
      </c>
      <c r="G20" s="203">
        <v>13293.1</v>
      </c>
      <c r="H20" s="147">
        <f t="shared" si="1"/>
        <v>5.3999999999999999E-2</v>
      </c>
      <c r="I20" s="154">
        <f t="shared" si="5"/>
        <v>0.97299999999999998</v>
      </c>
      <c r="J20" s="119">
        <f t="shared" si="6"/>
        <v>-11562.7</v>
      </c>
      <c r="K20" s="118">
        <f t="shared" si="3"/>
        <v>0.53500000000000003</v>
      </c>
      <c r="L20" s="126">
        <f t="shared" si="9"/>
        <v>6196.2</v>
      </c>
      <c r="M20" s="26"/>
    </row>
    <row r="21" spans="1:13" s="22" customFormat="1" ht="81" x14ac:dyDescent="0.2">
      <c r="A21" s="53" t="s">
        <v>38</v>
      </c>
      <c r="B21" s="55" t="s">
        <v>41</v>
      </c>
      <c r="C21" s="162">
        <v>127544.7</v>
      </c>
      <c r="D21" s="231">
        <v>128544.7</v>
      </c>
      <c r="E21" s="71">
        <v>52863.6</v>
      </c>
      <c r="F21" s="71">
        <f>56443.7+3109.4</f>
        <v>59553.1</v>
      </c>
      <c r="G21" s="203">
        <v>51816.6</v>
      </c>
      <c r="H21" s="147">
        <f t="shared" si="1"/>
        <v>0.21</v>
      </c>
      <c r="I21" s="154">
        <f t="shared" si="5"/>
        <v>0.98</v>
      </c>
      <c r="J21" s="119">
        <f t="shared" si="6"/>
        <v>-76728.100000000006</v>
      </c>
      <c r="K21" s="118">
        <f t="shared" si="3"/>
        <v>0.40300000000000002</v>
      </c>
      <c r="L21" s="126">
        <f t="shared" si="9"/>
        <v>-7736.5</v>
      </c>
      <c r="M21" s="25"/>
    </row>
    <row r="22" spans="1:13" s="27" customFormat="1" x14ac:dyDescent="0.2">
      <c r="A22" s="51"/>
      <c r="B22" s="52" t="s">
        <v>17</v>
      </c>
      <c r="C22" s="159">
        <f>C23+C30+C37+C34</f>
        <v>78504.800000000003</v>
      </c>
      <c r="D22" s="159">
        <f>D23+D30+D37+D34</f>
        <v>78504.800000000003</v>
      </c>
      <c r="E22" s="159">
        <f t="shared" ref="E22" si="15">E23+E30+E37+E34</f>
        <v>44532.2</v>
      </c>
      <c r="F22" s="185">
        <f>F23+F30+F37+F34+F28</f>
        <v>58389.2</v>
      </c>
      <c r="G22" s="200">
        <f>G23+G30+G37+G34</f>
        <v>44286.3</v>
      </c>
      <c r="H22" s="152">
        <f t="shared" si="1"/>
        <v>0.17899999999999999</v>
      </c>
      <c r="I22" s="154">
        <f t="shared" si="5"/>
        <v>0.99399999999999999</v>
      </c>
      <c r="J22" s="99">
        <f t="shared" si="6"/>
        <v>-34218.5</v>
      </c>
      <c r="K22" s="98">
        <f t="shared" si="3"/>
        <v>0.56399999999999995</v>
      </c>
      <c r="L22" s="126">
        <f t="shared" si="9"/>
        <v>-14102.9</v>
      </c>
      <c r="M22" s="26"/>
    </row>
    <row r="23" spans="1:13" s="22" customFormat="1" ht="54" x14ac:dyDescent="0.2">
      <c r="A23" s="51" t="s">
        <v>43</v>
      </c>
      <c r="B23" s="52" t="s">
        <v>1</v>
      </c>
      <c r="C23" s="185">
        <f>SUM(C24:C27)</f>
        <v>69987</v>
      </c>
      <c r="D23" s="185">
        <f t="shared" ref="D23:F23" si="16">SUM(D24:D27)</f>
        <v>69987</v>
      </c>
      <c r="E23" s="185">
        <f t="shared" si="16"/>
        <v>39923.4</v>
      </c>
      <c r="F23" s="185">
        <f t="shared" si="16"/>
        <v>42950.7</v>
      </c>
      <c r="G23" s="200">
        <f>SUM(G24:G27)</f>
        <v>39843.599999999999</v>
      </c>
      <c r="H23" s="152">
        <f t="shared" si="1"/>
        <v>0.161</v>
      </c>
      <c r="I23" s="154">
        <f t="shared" si="5"/>
        <v>0.998</v>
      </c>
      <c r="J23" s="99">
        <f t="shared" si="6"/>
        <v>-30143.4</v>
      </c>
      <c r="K23" s="98">
        <f t="shared" si="3"/>
        <v>0.56899999999999995</v>
      </c>
      <c r="L23" s="126">
        <f t="shared" si="9"/>
        <v>-3107.1</v>
      </c>
      <c r="M23" s="25"/>
    </row>
    <row r="24" spans="1:13" s="22" customFormat="1" ht="94.5" x14ac:dyDescent="0.2">
      <c r="A24" s="53" t="s">
        <v>141</v>
      </c>
      <c r="B24" s="55" t="s">
        <v>46</v>
      </c>
      <c r="C24" s="162">
        <v>64250</v>
      </c>
      <c r="D24" s="29">
        <v>64250</v>
      </c>
      <c r="E24" s="71">
        <v>37155</v>
      </c>
      <c r="F24" s="71">
        <f>37803.8+1691.4</f>
        <v>39495.199999999997</v>
      </c>
      <c r="G24" s="203">
        <v>37156.800000000003</v>
      </c>
      <c r="H24" s="147">
        <f t="shared" si="1"/>
        <v>0.15</v>
      </c>
      <c r="I24" s="154">
        <f t="shared" si="5"/>
        <v>1</v>
      </c>
      <c r="J24" s="119">
        <f t="shared" si="6"/>
        <v>-27093.200000000001</v>
      </c>
      <c r="K24" s="118">
        <f t="shared" si="3"/>
        <v>0.57799999999999996</v>
      </c>
      <c r="L24" s="126">
        <f t="shared" si="9"/>
        <v>-2338.4</v>
      </c>
      <c r="M24" s="25"/>
    </row>
    <row r="25" spans="1:13" s="22" customFormat="1" ht="40.5" x14ac:dyDescent="0.2">
      <c r="A25" s="53" t="s">
        <v>231</v>
      </c>
      <c r="B25" s="55" t="s">
        <v>174</v>
      </c>
      <c r="C25" s="162">
        <v>3786.5</v>
      </c>
      <c r="D25" s="29">
        <v>3786.5</v>
      </c>
      <c r="E25" s="71">
        <v>2093.1999999999998</v>
      </c>
      <c r="F25" s="71">
        <f>2123.8+39.2</f>
        <v>2163</v>
      </c>
      <c r="G25" s="203">
        <v>2031.3</v>
      </c>
      <c r="H25" s="147">
        <f t="shared" ref="H25" si="17">G25/Всего_доходов_2003</f>
        <v>8.0000000000000002E-3</v>
      </c>
      <c r="I25" s="154">
        <f t="shared" ref="I25" si="18">IF(E25=0,"0,0%",G25/E25)</f>
        <v>0.97</v>
      </c>
      <c r="J25" s="119">
        <f t="shared" ref="J25" si="19">G25-D25</f>
        <v>-1755.2</v>
      </c>
      <c r="K25" s="118">
        <f>G25/D25</f>
        <v>0.53600000000000003</v>
      </c>
      <c r="L25" s="126">
        <f t="shared" si="9"/>
        <v>-131.69999999999999</v>
      </c>
      <c r="M25" s="25"/>
    </row>
    <row r="26" spans="1:13" s="22" customFormat="1" ht="67.5" x14ac:dyDescent="0.2">
      <c r="A26" s="53" t="s">
        <v>229</v>
      </c>
      <c r="B26" s="55" t="s">
        <v>163</v>
      </c>
      <c r="C26" s="162">
        <v>0</v>
      </c>
      <c r="D26" s="29">
        <v>0</v>
      </c>
      <c r="E26" s="71">
        <v>0</v>
      </c>
      <c r="F26" s="71">
        <v>300</v>
      </c>
      <c r="G26" s="203">
        <v>0</v>
      </c>
      <c r="H26" s="147">
        <f t="shared" si="1"/>
        <v>0</v>
      </c>
      <c r="I26" s="154" t="str">
        <f t="shared" si="5"/>
        <v>0,0%</v>
      </c>
      <c r="J26" s="119">
        <f t="shared" si="6"/>
        <v>0</v>
      </c>
      <c r="K26" s="118" t="e">
        <f t="shared" si="3"/>
        <v>#DIV/0!</v>
      </c>
      <c r="L26" s="126">
        <f t="shared" si="9"/>
        <v>-300</v>
      </c>
      <c r="M26" s="25"/>
    </row>
    <row r="27" spans="1:13" s="27" customFormat="1" ht="94.5" x14ac:dyDescent="0.2">
      <c r="A27" s="17" t="s">
        <v>230</v>
      </c>
      <c r="B27" s="54" t="s">
        <v>90</v>
      </c>
      <c r="C27" s="163">
        <v>1950.5</v>
      </c>
      <c r="D27" s="29">
        <v>1950.5</v>
      </c>
      <c r="E27" s="44">
        <v>675.2</v>
      </c>
      <c r="F27" s="44">
        <f>844.5+148</f>
        <v>992.5</v>
      </c>
      <c r="G27" s="204">
        <v>655.5</v>
      </c>
      <c r="H27" s="147">
        <f t="shared" si="1"/>
        <v>3.0000000000000001E-3</v>
      </c>
      <c r="I27" s="154">
        <f t="shared" si="5"/>
        <v>0.97099999999999997</v>
      </c>
      <c r="J27" s="119">
        <f t="shared" si="6"/>
        <v>-1295</v>
      </c>
      <c r="K27" s="118">
        <f t="shared" si="3"/>
        <v>0.33600000000000002</v>
      </c>
      <c r="L27" s="126">
        <f t="shared" si="9"/>
        <v>-337</v>
      </c>
      <c r="M27" s="26"/>
    </row>
    <row r="28" spans="1:13" s="27" customFormat="1" ht="40.5" x14ac:dyDescent="0.2">
      <c r="A28" s="59" t="s">
        <v>226</v>
      </c>
      <c r="B28" s="60" t="s">
        <v>227</v>
      </c>
      <c r="C28" s="238">
        <f>C29</f>
        <v>0</v>
      </c>
      <c r="D28" s="238">
        <f t="shared" ref="D28:F28" si="20">D29</f>
        <v>0</v>
      </c>
      <c r="E28" s="238">
        <f t="shared" si="20"/>
        <v>0</v>
      </c>
      <c r="F28" s="238">
        <f t="shared" si="20"/>
        <v>25.6</v>
      </c>
      <c r="G28" s="239">
        <f>G29</f>
        <v>19.5</v>
      </c>
      <c r="H28" s="152">
        <f t="shared" si="1"/>
        <v>0</v>
      </c>
      <c r="I28" s="154" t="str">
        <f t="shared" si="5"/>
        <v>0,0%</v>
      </c>
      <c r="J28" s="99">
        <f t="shared" si="6"/>
        <v>19.5</v>
      </c>
      <c r="K28" s="98"/>
      <c r="L28" s="126">
        <f t="shared" si="9"/>
        <v>-6.1</v>
      </c>
      <c r="M28" s="26"/>
    </row>
    <row r="29" spans="1:13" s="27" customFormat="1" ht="27" x14ac:dyDescent="0.2">
      <c r="A29" s="232" t="s">
        <v>228</v>
      </c>
      <c r="B29" s="233" t="s">
        <v>238</v>
      </c>
      <c r="C29" s="234"/>
      <c r="D29" s="235"/>
      <c r="E29" s="236"/>
      <c r="F29" s="236">
        <f>25.6</f>
        <v>25.6</v>
      </c>
      <c r="G29" s="237">
        <v>19.5</v>
      </c>
      <c r="H29" s="147">
        <f t="shared" si="1"/>
        <v>0</v>
      </c>
      <c r="I29" s="154" t="str">
        <f t="shared" si="5"/>
        <v>0,0%</v>
      </c>
      <c r="J29" s="119">
        <f t="shared" si="6"/>
        <v>19.5</v>
      </c>
      <c r="K29" s="118"/>
      <c r="L29" s="126">
        <f t="shared" si="9"/>
        <v>-6.1</v>
      </c>
      <c r="M29" s="26"/>
    </row>
    <row r="30" spans="1:13" s="22" customFormat="1" ht="27" x14ac:dyDescent="0.2">
      <c r="A30" s="59" t="s">
        <v>42</v>
      </c>
      <c r="B30" s="60" t="s">
        <v>2</v>
      </c>
      <c r="C30" s="164">
        <f>SUM(C31:C33)</f>
        <v>8497.7999999999993</v>
      </c>
      <c r="D30" s="164">
        <f t="shared" ref="D30:G30" si="21">SUM(D31:D33)</f>
        <v>8497.7999999999993</v>
      </c>
      <c r="E30" s="164">
        <f t="shared" si="21"/>
        <v>4598.8</v>
      </c>
      <c r="F30" s="229">
        <f t="shared" si="21"/>
        <v>15133.2</v>
      </c>
      <c r="G30" s="205">
        <f t="shared" si="21"/>
        <v>4597.3</v>
      </c>
      <c r="H30" s="152">
        <f t="shared" si="1"/>
        <v>1.9E-2</v>
      </c>
      <c r="I30" s="154">
        <f t="shared" si="5"/>
        <v>1</v>
      </c>
      <c r="J30" s="99">
        <f t="shared" si="6"/>
        <v>-3900.5</v>
      </c>
      <c r="K30" s="98">
        <f t="shared" si="3"/>
        <v>0.54100000000000004</v>
      </c>
      <c r="L30" s="126">
        <f t="shared" si="9"/>
        <v>-10535.9</v>
      </c>
      <c r="M30" s="25"/>
    </row>
    <row r="31" spans="1:13" s="22" customFormat="1" ht="108" x14ac:dyDescent="0.2">
      <c r="A31" s="17" t="s">
        <v>142</v>
      </c>
      <c r="B31" s="54" t="s">
        <v>132</v>
      </c>
      <c r="C31" s="163">
        <v>2272.8000000000002</v>
      </c>
      <c r="D31" s="29">
        <v>2272.8000000000002</v>
      </c>
      <c r="E31" s="44">
        <v>1136.4000000000001</v>
      </c>
      <c r="F31" s="44">
        <f>1827.1+59.2</f>
        <v>1886.3</v>
      </c>
      <c r="G31" s="204">
        <v>1158.2</v>
      </c>
      <c r="H31" s="147">
        <f t="shared" si="1"/>
        <v>5.0000000000000001E-3</v>
      </c>
      <c r="I31" s="154">
        <f t="shared" si="5"/>
        <v>1.0189999999999999</v>
      </c>
      <c r="J31" s="119">
        <f t="shared" si="6"/>
        <v>-1114.5999999999999</v>
      </c>
      <c r="K31" s="118">
        <f t="shared" si="3"/>
        <v>0.51</v>
      </c>
      <c r="L31" s="126">
        <f t="shared" si="9"/>
        <v>-728.1</v>
      </c>
      <c r="M31" s="25"/>
    </row>
    <row r="32" spans="1:13" s="22" customFormat="1" ht="54" x14ac:dyDescent="0.2">
      <c r="A32" s="17" t="s">
        <v>143</v>
      </c>
      <c r="B32" s="54" t="s">
        <v>47</v>
      </c>
      <c r="C32" s="163">
        <v>6225</v>
      </c>
      <c r="D32" s="29">
        <v>6225</v>
      </c>
      <c r="E32" s="44">
        <v>3462.4</v>
      </c>
      <c r="F32" s="44">
        <f>1783.5+102.4</f>
        <v>1885.9</v>
      </c>
      <c r="G32" s="204">
        <v>3439.1</v>
      </c>
      <c r="H32" s="147">
        <f t="shared" si="1"/>
        <v>1.4E-2</v>
      </c>
      <c r="I32" s="154">
        <f t="shared" si="5"/>
        <v>0.99299999999999999</v>
      </c>
      <c r="J32" s="119">
        <f t="shared" si="6"/>
        <v>-2785.9</v>
      </c>
      <c r="K32" s="118">
        <f t="shared" si="3"/>
        <v>0.55200000000000005</v>
      </c>
      <c r="L32" s="126">
        <f t="shared" si="9"/>
        <v>1553.2</v>
      </c>
      <c r="M32" s="25"/>
    </row>
    <row r="33" spans="1:13" s="22" customFormat="1" ht="67.5" x14ac:dyDescent="0.2">
      <c r="A33" s="17" t="s">
        <v>170</v>
      </c>
      <c r="B33" s="54" t="s">
        <v>171</v>
      </c>
      <c r="C33" s="163">
        <v>0</v>
      </c>
      <c r="D33" s="29">
        <v>0</v>
      </c>
      <c r="E33" s="44">
        <v>0</v>
      </c>
      <c r="F33" s="44">
        <v>11361</v>
      </c>
      <c r="G33" s="204">
        <v>0</v>
      </c>
      <c r="H33" s="147">
        <f t="shared" ref="H33" si="22">G33/Всего_доходов_2003</f>
        <v>0</v>
      </c>
      <c r="I33" s="154" t="str">
        <f t="shared" ref="I33" si="23">IF(E33=0,"0,0%",G33/E33)</f>
        <v>0,0%</v>
      </c>
      <c r="J33" s="119">
        <f t="shared" ref="J33" si="24">G33-D33</f>
        <v>0</v>
      </c>
      <c r="K33" s="118">
        <v>0</v>
      </c>
      <c r="L33" s="126">
        <f t="shared" si="9"/>
        <v>-11361</v>
      </c>
      <c r="M33" s="25"/>
    </row>
    <row r="34" spans="1:13" s="22" customFormat="1" ht="27" x14ac:dyDescent="0.2">
      <c r="A34" s="56" t="s">
        <v>166</v>
      </c>
      <c r="B34" s="57" t="s">
        <v>167</v>
      </c>
      <c r="C34" s="165">
        <f>SUM(C35:C36)</f>
        <v>20</v>
      </c>
      <c r="D34" s="165">
        <f t="shared" ref="D34:G34" si="25">SUM(D35:D36)</f>
        <v>20</v>
      </c>
      <c r="E34" s="165">
        <f t="shared" si="25"/>
        <v>10</v>
      </c>
      <c r="F34" s="230">
        <f t="shared" si="25"/>
        <v>277.3</v>
      </c>
      <c r="G34" s="206">
        <f t="shared" si="25"/>
        <v>-146</v>
      </c>
      <c r="H34" s="152">
        <f t="shared" si="1"/>
        <v>-1E-3</v>
      </c>
      <c r="I34" s="154">
        <f t="shared" si="5"/>
        <v>-14.6</v>
      </c>
      <c r="J34" s="99">
        <f t="shared" ref="J34:J35" si="26">G34-D34</f>
        <v>-166</v>
      </c>
      <c r="K34" s="98">
        <f t="shared" ref="K34:K35" si="27">G34/D34</f>
        <v>-7.3</v>
      </c>
      <c r="L34" s="126">
        <f t="shared" si="9"/>
        <v>-423.3</v>
      </c>
      <c r="M34" s="25"/>
    </row>
    <row r="35" spans="1:13" s="22" customFormat="1" ht="54" x14ac:dyDescent="0.2">
      <c r="A35" s="17" t="s">
        <v>168</v>
      </c>
      <c r="B35" s="54" t="s">
        <v>169</v>
      </c>
      <c r="C35" s="163">
        <v>10</v>
      </c>
      <c r="D35" s="29">
        <v>10</v>
      </c>
      <c r="E35" s="44">
        <v>5</v>
      </c>
      <c r="F35" s="44">
        <v>0</v>
      </c>
      <c r="G35" s="204">
        <v>-148</v>
      </c>
      <c r="H35" s="147">
        <f t="shared" si="1"/>
        <v>-1E-3</v>
      </c>
      <c r="I35" s="154">
        <f t="shared" si="5"/>
        <v>-29.6</v>
      </c>
      <c r="J35" s="119">
        <f t="shared" si="26"/>
        <v>-158</v>
      </c>
      <c r="K35" s="118">
        <f t="shared" si="27"/>
        <v>-14.8</v>
      </c>
      <c r="L35" s="126">
        <f t="shared" si="9"/>
        <v>-148</v>
      </c>
      <c r="M35" s="25"/>
    </row>
    <row r="36" spans="1:13" s="22" customFormat="1" ht="54" x14ac:dyDescent="0.2">
      <c r="A36" s="17" t="s">
        <v>200</v>
      </c>
      <c r="B36" s="54" t="s">
        <v>201</v>
      </c>
      <c r="C36" s="163">
        <v>10</v>
      </c>
      <c r="D36" s="29">
        <v>10</v>
      </c>
      <c r="E36" s="44">
        <v>5</v>
      </c>
      <c r="F36" s="44">
        <f>257.3+20</f>
        <v>277.3</v>
      </c>
      <c r="G36" s="204">
        <v>2</v>
      </c>
      <c r="H36" s="147">
        <f t="shared" ref="H36" si="28">G36/Всего_доходов_2003</f>
        <v>0</v>
      </c>
      <c r="I36" s="154">
        <f t="shared" ref="I36" si="29">IF(E36=0,"0,0%",G36/E36)</f>
        <v>0.4</v>
      </c>
      <c r="J36" s="119">
        <f t="shared" ref="J36" si="30">G36-D36</f>
        <v>-8</v>
      </c>
      <c r="K36" s="118">
        <f t="shared" ref="K36" si="31">G36/D36</f>
        <v>0.2</v>
      </c>
      <c r="L36" s="126">
        <f t="shared" si="9"/>
        <v>-275.3</v>
      </c>
      <c r="M36" s="25"/>
    </row>
    <row r="37" spans="1:13" s="22" customFormat="1" x14ac:dyDescent="0.2">
      <c r="A37" s="56" t="s">
        <v>3</v>
      </c>
      <c r="B37" s="57" t="s">
        <v>5</v>
      </c>
      <c r="C37" s="165">
        <f>SUM(C38)</f>
        <v>0</v>
      </c>
      <c r="D37" s="70">
        <f>SUM(D38)</f>
        <v>0</v>
      </c>
      <c r="E37" s="70">
        <f>SUM(E38)</f>
        <v>0</v>
      </c>
      <c r="F37" s="70">
        <f>SUM(F38)</f>
        <v>2.4</v>
      </c>
      <c r="G37" s="206">
        <f>SUM(G38)</f>
        <v>-8.6</v>
      </c>
      <c r="H37" s="156">
        <f t="shared" ref="H37:H38" si="32">G37-E37</f>
        <v>-8.6</v>
      </c>
      <c r="I37" s="154" t="str">
        <f t="shared" si="5"/>
        <v>0,0%</v>
      </c>
      <c r="J37" s="99">
        <f t="shared" si="6"/>
        <v>-8.6</v>
      </c>
      <c r="K37" s="118">
        <v>0</v>
      </c>
      <c r="L37" s="126">
        <f t="shared" si="9"/>
        <v>-11</v>
      </c>
      <c r="M37" s="25"/>
    </row>
    <row r="38" spans="1:13" s="22" customFormat="1" ht="27" x14ac:dyDescent="0.2">
      <c r="A38" s="17" t="s">
        <v>202</v>
      </c>
      <c r="B38" s="54" t="s">
        <v>55</v>
      </c>
      <c r="C38" s="163">
        <v>0</v>
      </c>
      <c r="D38" s="29">
        <v>0</v>
      </c>
      <c r="E38" s="44">
        <v>0</v>
      </c>
      <c r="F38" s="44">
        <v>2.4</v>
      </c>
      <c r="G38" s="204">
        <v>-8.6</v>
      </c>
      <c r="H38" s="155">
        <f t="shared" si="32"/>
        <v>-8.6</v>
      </c>
      <c r="I38" s="154" t="str">
        <f t="shared" si="5"/>
        <v>0,0%</v>
      </c>
      <c r="J38" s="119">
        <f t="shared" si="6"/>
        <v>-8.6</v>
      </c>
      <c r="K38" s="118">
        <v>0</v>
      </c>
      <c r="L38" s="126">
        <f t="shared" si="9"/>
        <v>-11</v>
      </c>
      <c r="M38" s="25"/>
    </row>
    <row r="39" spans="1:13" s="22" customFormat="1" x14ac:dyDescent="0.2">
      <c r="A39" s="56" t="s">
        <v>44</v>
      </c>
      <c r="B39" s="61" t="s">
        <v>4</v>
      </c>
      <c r="C39" s="165">
        <f>SUM(C40,C42,C50,C46)</f>
        <v>9027.7000000000007</v>
      </c>
      <c r="D39" s="165">
        <f>SUM(D40,D42,D50,D48,D46)</f>
        <v>9152.9</v>
      </c>
      <c r="E39" s="165">
        <f>SUM(E40,E42,E50,E46,E48)</f>
        <v>4639</v>
      </c>
      <c r="F39" s="230">
        <f>SUM(F40,F42,F50,F46,F45)</f>
        <v>75642.399999999994</v>
      </c>
      <c r="G39" s="206">
        <f>SUM(G40,G42,G50,G46,G48)</f>
        <v>4639</v>
      </c>
      <c r="H39" s="152">
        <f t="shared" ref="H39:H51" si="33">G39/Всего_доходов_2003</f>
        <v>1.9E-2</v>
      </c>
      <c r="I39" s="154">
        <f t="shared" si="5"/>
        <v>1</v>
      </c>
      <c r="J39" s="99">
        <f t="shared" si="6"/>
        <v>-4513.8999999999996</v>
      </c>
      <c r="K39" s="98">
        <f t="shared" si="3"/>
        <v>0.50700000000000001</v>
      </c>
      <c r="L39" s="126">
        <f t="shared" si="9"/>
        <v>-71003.399999999994</v>
      </c>
      <c r="M39" s="25"/>
    </row>
    <row r="40" spans="1:13" s="22" customFormat="1" ht="27" x14ac:dyDescent="0.2">
      <c r="A40" s="62" t="s">
        <v>45</v>
      </c>
      <c r="B40" s="63" t="s">
        <v>50</v>
      </c>
      <c r="C40" s="165">
        <f>C41</f>
        <v>9027.7000000000007</v>
      </c>
      <c r="D40" s="165">
        <f t="shared" ref="D40:E40" si="34">D41</f>
        <v>9027.7000000000007</v>
      </c>
      <c r="E40" s="165">
        <f t="shared" si="34"/>
        <v>4513.8</v>
      </c>
      <c r="F40" s="230">
        <f>F41</f>
        <v>5875.5</v>
      </c>
      <c r="G40" s="206">
        <f>G41</f>
        <v>4513.8</v>
      </c>
      <c r="H40" s="152">
        <f t="shared" si="33"/>
        <v>1.7999999999999999E-2</v>
      </c>
      <c r="I40" s="154">
        <f t="shared" si="5"/>
        <v>1</v>
      </c>
      <c r="J40" s="99">
        <f t="shared" si="6"/>
        <v>-4513.8999999999996</v>
      </c>
      <c r="K40" s="98">
        <f t="shared" si="3"/>
        <v>0.5</v>
      </c>
      <c r="L40" s="126">
        <f t="shared" si="9"/>
        <v>-1361.7</v>
      </c>
      <c r="M40" s="25"/>
    </row>
    <row r="41" spans="1:13" s="22" customFormat="1" ht="67.5" x14ac:dyDescent="0.2">
      <c r="A41" s="64" t="s">
        <v>75</v>
      </c>
      <c r="B41" s="65" t="s">
        <v>56</v>
      </c>
      <c r="C41" s="163">
        <v>9027.7000000000007</v>
      </c>
      <c r="D41" s="44">
        <v>9027.7000000000007</v>
      </c>
      <c r="E41" s="44">
        <v>4513.8</v>
      </c>
      <c r="F41" s="44">
        <f>3553.2+2322.3</f>
        <v>5875.5</v>
      </c>
      <c r="G41" s="204">
        <v>4513.8</v>
      </c>
      <c r="H41" s="147">
        <f t="shared" si="33"/>
        <v>1.7999999999999999E-2</v>
      </c>
      <c r="I41" s="154">
        <f t="shared" si="5"/>
        <v>1</v>
      </c>
      <c r="J41" s="119">
        <f t="shared" si="6"/>
        <v>-4513.8999999999996</v>
      </c>
      <c r="K41" s="118">
        <f t="shared" si="3"/>
        <v>0.5</v>
      </c>
      <c r="L41" s="126">
        <f t="shared" si="9"/>
        <v>-1361.7</v>
      </c>
      <c r="M41" s="25"/>
    </row>
    <row r="42" spans="1:13" s="22" customFormat="1" ht="40.5" x14ac:dyDescent="0.2">
      <c r="A42" s="66" t="s">
        <v>133</v>
      </c>
      <c r="B42" s="61" t="s">
        <v>134</v>
      </c>
      <c r="C42" s="165">
        <f>C43+C44</f>
        <v>0</v>
      </c>
      <c r="D42" s="70">
        <f>D43+D44</f>
        <v>0</v>
      </c>
      <c r="E42" s="70">
        <f>E43+E44</f>
        <v>0</v>
      </c>
      <c r="F42" s="70">
        <f>F43+F44</f>
        <v>50460.6</v>
      </c>
      <c r="G42" s="206">
        <f>G43+G44</f>
        <v>0</v>
      </c>
      <c r="H42" s="152">
        <f t="shared" si="33"/>
        <v>0</v>
      </c>
      <c r="I42" s="154" t="str">
        <f t="shared" si="5"/>
        <v>0,0%</v>
      </c>
      <c r="J42" s="98">
        <f t="shared" ref="J42:J51" si="35">G42/Всего_доходов_2003</f>
        <v>0</v>
      </c>
      <c r="K42" s="99">
        <f>G42-D42</f>
        <v>0</v>
      </c>
      <c r="L42" s="126">
        <f t="shared" si="9"/>
        <v>-50460.6</v>
      </c>
      <c r="M42" s="25"/>
    </row>
    <row r="43" spans="1:13" s="27" customFormat="1" ht="81" x14ac:dyDescent="0.25">
      <c r="A43" s="141" t="s">
        <v>152</v>
      </c>
      <c r="B43" s="140" t="s">
        <v>150</v>
      </c>
      <c r="C43" s="163">
        <v>0</v>
      </c>
      <c r="D43" s="44">
        <v>0</v>
      </c>
      <c r="E43" s="44">
        <v>0</v>
      </c>
      <c r="F43" s="44">
        <v>24055.599999999999</v>
      </c>
      <c r="G43" s="204">
        <v>0</v>
      </c>
      <c r="H43" s="147">
        <f t="shared" si="33"/>
        <v>0</v>
      </c>
      <c r="I43" s="154" t="str">
        <f t="shared" si="5"/>
        <v>0,0%</v>
      </c>
      <c r="J43" s="119">
        <f>G43-D43</f>
        <v>0</v>
      </c>
      <c r="K43" s="118">
        <v>0</v>
      </c>
      <c r="L43" s="126">
        <f t="shared" si="9"/>
        <v>-24055.599999999999</v>
      </c>
    </row>
    <row r="44" spans="1:13" s="27" customFormat="1" ht="54" x14ac:dyDescent="0.25">
      <c r="A44" s="141" t="s">
        <v>153</v>
      </c>
      <c r="B44" s="140" t="s">
        <v>151</v>
      </c>
      <c r="C44" s="163">
        <v>0</v>
      </c>
      <c r="D44" s="44">
        <v>0</v>
      </c>
      <c r="E44" s="44">
        <v>0</v>
      </c>
      <c r="F44" s="44">
        <v>26405</v>
      </c>
      <c r="G44" s="204">
        <v>0</v>
      </c>
      <c r="H44" s="147">
        <f t="shared" si="33"/>
        <v>0</v>
      </c>
      <c r="I44" s="154" t="str">
        <f>IF(E44=0,"0,0%",G44/E44)</f>
        <v>0,0%</v>
      </c>
      <c r="J44" s="119">
        <f>G44-D44</f>
        <v>0</v>
      </c>
      <c r="K44" s="118">
        <v>0</v>
      </c>
      <c r="L44" s="126">
        <f t="shared" si="9"/>
        <v>-26405</v>
      </c>
    </row>
    <row r="45" spans="1:13" s="27" customFormat="1" ht="27" x14ac:dyDescent="0.25">
      <c r="A45" s="186" t="s">
        <v>233</v>
      </c>
      <c r="B45" s="187" t="s">
        <v>232</v>
      </c>
      <c r="C45" s="166">
        <v>0</v>
      </c>
      <c r="D45" s="81">
        <v>0</v>
      </c>
      <c r="E45" s="81">
        <v>0</v>
      </c>
      <c r="F45" s="81">
        <v>283.7</v>
      </c>
      <c r="G45" s="207">
        <v>0</v>
      </c>
      <c r="H45" s="152">
        <f>G45/Всего_доходов_2003</f>
        <v>0</v>
      </c>
      <c r="I45" s="154" t="str">
        <f>IF(E45=0,"0,0%",G45/E45)</f>
        <v>0,0%</v>
      </c>
      <c r="J45" s="99">
        <f>G45-D45</f>
        <v>0</v>
      </c>
      <c r="K45" s="98">
        <v>0</v>
      </c>
      <c r="L45" s="126">
        <f t="shared" si="9"/>
        <v>-283.7</v>
      </c>
    </row>
    <row r="46" spans="1:13" s="27" customFormat="1" x14ac:dyDescent="0.25">
      <c r="A46" s="186" t="s">
        <v>178</v>
      </c>
      <c r="B46" s="187" t="s">
        <v>177</v>
      </c>
      <c r="C46" s="166">
        <f>C47</f>
        <v>0</v>
      </c>
      <c r="D46" s="81">
        <f>D47</f>
        <v>0</v>
      </c>
      <c r="E46" s="81">
        <f>E47</f>
        <v>0</v>
      </c>
      <c r="F46" s="81">
        <f>F47</f>
        <v>19056.5</v>
      </c>
      <c r="G46" s="207">
        <f>G47</f>
        <v>0</v>
      </c>
      <c r="H46" s="152">
        <f t="shared" ref="H46:H49" si="36">G46/Всего_доходов_2003</f>
        <v>0</v>
      </c>
      <c r="I46" s="154" t="str">
        <f t="shared" ref="I46:I49" si="37">IF(E46=0,"0,0%",G46/E46)</f>
        <v>0,0%</v>
      </c>
      <c r="J46" s="98">
        <f t="shared" ref="J46:J49" si="38">G46/Всего_доходов_2003</f>
        <v>0</v>
      </c>
      <c r="K46" s="99">
        <f t="shared" ref="K46:K51" si="39">G46-D46</f>
        <v>0</v>
      </c>
      <c r="L46" s="126">
        <f t="shared" si="9"/>
        <v>-19056.5</v>
      </c>
    </row>
    <row r="47" spans="1:13" s="27" customFormat="1" ht="40.5" x14ac:dyDescent="0.25">
      <c r="A47" s="141" t="s">
        <v>175</v>
      </c>
      <c r="B47" s="140" t="s">
        <v>176</v>
      </c>
      <c r="C47" s="163">
        <v>0</v>
      </c>
      <c r="D47" s="44">
        <v>0</v>
      </c>
      <c r="E47" s="44">
        <v>0</v>
      </c>
      <c r="F47" s="44">
        <f>10500+8556.5</f>
        <v>19056.5</v>
      </c>
      <c r="G47" s="204">
        <v>0</v>
      </c>
      <c r="H47" s="147">
        <f t="shared" si="36"/>
        <v>0</v>
      </c>
      <c r="I47" s="154" t="str">
        <f t="shared" si="37"/>
        <v>0,0%</v>
      </c>
      <c r="J47" s="118">
        <f t="shared" si="38"/>
        <v>0</v>
      </c>
      <c r="K47" s="119">
        <f t="shared" si="39"/>
        <v>0</v>
      </c>
      <c r="L47" s="126">
        <f t="shared" si="9"/>
        <v>-19056.5</v>
      </c>
    </row>
    <row r="48" spans="1:13" s="22" customFormat="1" ht="108" x14ac:dyDescent="0.2">
      <c r="A48" s="66" t="s">
        <v>215</v>
      </c>
      <c r="B48" s="61" t="s">
        <v>214</v>
      </c>
      <c r="C48" s="166">
        <f>C49</f>
        <v>0</v>
      </c>
      <c r="D48" s="81">
        <f>D49</f>
        <v>208.3</v>
      </c>
      <c r="E48" s="81">
        <f>E49</f>
        <v>208.3</v>
      </c>
      <c r="F48" s="81">
        <f>F49</f>
        <v>0</v>
      </c>
      <c r="G48" s="207">
        <f>G49</f>
        <v>208.3</v>
      </c>
      <c r="H48" s="152">
        <f t="shared" si="36"/>
        <v>1E-3</v>
      </c>
      <c r="I48" s="154">
        <f t="shared" si="37"/>
        <v>1</v>
      </c>
      <c r="J48" s="98">
        <f t="shared" si="38"/>
        <v>1E-3</v>
      </c>
      <c r="K48" s="99">
        <f t="shared" si="39"/>
        <v>0</v>
      </c>
      <c r="L48" s="126">
        <f t="shared" ref="L48:L49" si="40">G48-F48</f>
        <v>208.3</v>
      </c>
      <c r="M48" s="25"/>
    </row>
    <row r="49" spans="1:13" s="22" customFormat="1" ht="67.5" x14ac:dyDescent="0.2">
      <c r="A49" s="64" t="s">
        <v>216</v>
      </c>
      <c r="B49" s="65" t="s">
        <v>217</v>
      </c>
      <c r="C49" s="163">
        <v>0</v>
      </c>
      <c r="D49" s="44">
        <v>208.3</v>
      </c>
      <c r="E49" s="44">
        <v>208.3</v>
      </c>
      <c r="F49" s="44">
        <v>0</v>
      </c>
      <c r="G49" s="204">
        <v>208.3</v>
      </c>
      <c r="H49" s="147">
        <f t="shared" si="36"/>
        <v>1E-3</v>
      </c>
      <c r="I49" s="154">
        <f t="shared" si="37"/>
        <v>1</v>
      </c>
      <c r="J49" s="118">
        <f t="shared" si="38"/>
        <v>1E-3</v>
      </c>
      <c r="K49" s="119">
        <f t="shared" si="39"/>
        <v>0</v>
      </c>
      <c r="L49" s="126">
        <f t="shared" si="40"/>
        <v>208.3</v>
      </c>
      <c r="M49" s="25"/>
    </row>
    <row r="50" spans="1:13" s="22" customFormat="1" ht="40.5" x14ac:dyDescent="0.2">
      <c r="A50" s="66" t="s">
        <v>135</v>
      </c>
      <c r="B50" s="61" t="s">
        <v>136</v>
      </c>
      <c r="C50" s="166">
        <f>C51</f>
        <v>0</v>
      </c>
      <c r="D50" s="81">
        <f>D51</f>
        <v>-83.1</v>
      </c>
      <c r="E50" s="81">
        <f>E51</f>
        <v>-83.1</v>
      </c>
      <c r="F50" s="81">
        <f>F51</f>
        <v>-33.9</v>
      </c>
      <c r="G50" s="207">
        <f>G51</f>
        <v>-83.1</v>
      </c>
      <c r="H50" s="152">
        <f t="shared" si="33"/>
        <v>0</v>
      </c>
      <c r="I50" s="154">
        <f t="shared" si="5"/>
        <v>1</v>
      </c>
      <c r="J50" s="98">
        <f t="shared" si="35"/>
        <v>0</v>
      </c>
      <c r="K50" s="99">
        <f t="shared" si="39"/>
        <v>0</v>
      </c>
      <c r="L50" s="126">
        <f t="shared" si="9"/>
        <v>-49.2</v>
      </c>
      <c r="M50" s="25"/>
    </row>
    <row r="51" spans="1:13" s="22" customFormat="1" ht="54" x14ac:dyDescent="0.2">
      <c r="A51" s="64" t="s">
        <v>218</v>
      </c>
      <c r="B51" s="65" t="s">
        <v>74</v>
      </c>
      <c r="C51" s="163">
        <v>0</v>
      </c>
      <c r="D51" s="44">
        <v>-83.1</v>
      </c>
      <c r="E51" s="44">
        <v>-83.1</v>
      </c>
      <c r="F51" s="44">
        <v>-33.9</v>
      </c>
      <c r="G51" s="204">
        <v>-83.1</v>
      </c>
      <c r="H51" s="147">
        <f t="shared" si="33"/>
        <v>0</v>
      </c>
      <c r="I51" s="154">
        <f t="shared" si="5"/>
        <v>1</v>
      </c>
      <c r="J51" s="118">
        <f t="shared" si="35"/>
        <v>0</v>
      </c>
      <c r="K51" s="119">
        <f t="shared" si="39"/>
        <v>0</v>
      </c>
      <c r="L51" s="126">
        <f t="shared" si="9"/>
        <v>-49.2</v>
      </c>
      <c r="M51" s="25"/>
    </row>
    <row r="52" spans="1:13" s="28" customFormat="1" x14ac:dyDescent="0.2">
      <c r="A52" s="148"/>
      <c r="B52" s="149" t="s">
        <v>6</v>
      </c>
      <c r="C52" s="150">
        <f>C6+C39</f>
        <v>599541.4</v>
      </c>
      <c r="D52" s="150">
        <f>D6+D39</f>
        <v>622122.30000000005</v>
      </c>
      <c r="E52" s="150">
        <f>E6+E39</f>
        <v>253173.5</v>
      </c>
      <c r="F52" s="225">
        <f>F6+F39</f>
        <v>321472.7</v>
      </c>
      <c r="G52" s="206">
        <f>G6+G39</f>
        <v>247001.2</v>
      </c>
      <c r="H52" s="98">
        <f t="shared" ref="H52" si="41">G52/Всего_доходов_2003</f>
        <v>1</v>
      </c>
      <c r="I52" s="154">
        <f t="shared" si="5"/>
        <v>0.97599999999999998</v>
      </c>
      <c r="J52" s="99">
        <f t="shared" ref="J52" si="42">G52-D52</f>
        <v>-375121.1</v>
      </c>
      <c r="K52" s="98">
        <f>G52/D52</f>
        <v>0.39700000000000002</v>
      </c>
      <c r="L52" s="126">
        <f t="shared" si="9"/>
        <v>-74471.5</v>
      </c>
    </row>
    <row r="53" spans="1:13" s="14" customFormat="1" x14ac:dyDescent="0.2">
      <c r="A53" s="50"/>
      <c r="B53" s="5"/>
      <c r="C53" s="5"/>
      <c r="D53" s="31"/>
      <c r="E53" s="6"/>
      <c r="F53" s="6"/>
      <c r="G53" s="208"/>
      <c r="H53" s="67"/>
      <c r="I53" s="67"/>
      <c r="J53" s="68"/>
      <c r="K53" s="69"/>
      <c r="L53" s="6"/>
    </row>
    <row r="54" spans="1:13" ht="16.5" x14ac:dyDescent="0.2">
      <c r="A54" s="19" t="s">
        <v>10</v>
      </c>
      <c r="B54" s="167" t="s">
        <v>7</v>
      </c>
      <c r="C54" s="5"/>
      <c r="D54" s="31"/>
      <c r="E54" s="8"/>
      <c r="F54" s="8"/>
      <c r="G54" s="209"/>
      <c r="H54" s="82"/>
      <c r="I54" s="82"/>
      <c r="J54" s="83"/>
      <c r="K54" s="82"/>
      <c r="L54" s="8"/>
    </row>
    <row r="55" spans="1:13" s="28" customFormat="1" x14ac:dyDescent="0.2">
      <c r="A55" s="95" t="s">
        <v>21</v>
      </c>
      <c r="B55" s="96" t="s">
        <v>25</v>
      </c>
      <c r="C55" s="97">
        <f>C56+C57+C58+C61+C64+C65+C66</f>
        <v>29585.5</v>
      </c>
      <c r="D55" s="97">
        <f>D56+D57+D58+D61+D64+D65+D66</f>
        <v>29592.2</v>
      </c>
      <c r="E55" s="97">
        <f>E56+E57+E58+E61+E64+E65+E66</f>
        <v>10198.9</v>
      </c>
      <c r="F55" s="224">
        <f>F56+F57+F58+F61+F64+F65+F66</f>
        <v>43461.2</v>
      </c>
      <c r="G55" s="210">
        <f>G56+G57+G58+G61+G64+G65+G66</f>
        <v>10198.4</v>
      </c>
      <c r="H55" s="98">
        <f>G55/G160</f>
        <v>3.6999999999999998E-2</v>
      </c>
      <c r="I55" s="154">
        <f>IF(E55=0,"0,0%",G55/E55)</f>
        <v>1</v>
      </c>
      <c r="J55" s="99">
        <f>G55-D55</f>
        <v>-19393.8</v>
      </c>
      <c r="K55" s="98">
        <f>G55/D55</f>
        <v>0.34499999999999997</v>
      </c>
      <c r="L55" s="100">
        <f>G55-F55</f>
        <v>-33262.800000000003</v>
      </c>
    </row>
    <row r="56" spans="1:13" ht="40.5" x14ac:dyDescent="0.2">
      <c r="A56" s="18" t="s">
        <v>52</v>
      </c>
      <c r="B56" s="11" t="s">
        <v>61</v>
      </c>
      <c r="C56" s="130">
        <v>1683.9</v>
      </c>
      <c r="D56" s="32">
        <v>1683.9</v>
      </c>
      <c r="E56" s="8">
        <v>644.79999999999995</v>
      </c>
      <c r="F56" s="8">
        <v>919.2</v>
      </c>
      <c r="G56" s="209">
        <v>644.79999999999995</v>
      </c>
      <c r="H56" s="109">
        <f>G56/$G$160</f>
        <v>2E-3</v>
      </c>
      <c r="I56" s="154">
        <f>IF(E56=0,"0,0%",G56/E56)</f>
        <v>1</v>
      </c>
      <c r="J56" s="110">
        <f t="shared" ref="J56:J134" si="43">G56-D56</f>
        <v>-1039.0999999999999</v>
      </c>
      <c r="K56" s="109">
        <f t="shared" ref="K56:K134" si="44">G56/D56</f>
        <v>0.38300000000000001</v>
      </c>
      <c r="L56" s="139">
        <f>G56-F56</f>
        <v>-274.39999999999998</v>
      </c>
    </row>
    <row r="57" spans="1:13" ht="54" x14ac:dyDescent="0.2">
      <c r="A57" s="18" t="s">
        <v>53</v>
      </c>
      <c r="B57" s="11" t="s">
        <v>137</v>
      </c>
      <c r="C57" s="130">
        <v>14684.2</v>
      </c>
      <c r="D57" s="32">
        <v>14684.2</v>
      </c>
      <c r="E57" s="8">
        <v>5305.9</v>
      </c>
      <c r="F57" s="8">
        <v>3372.2</v>
      </c>
      <c r="G57" s="209">
        <v>5305.9</v>
      </c>
      <c r="H57" s="109">
        <f>G57/$G$160</f>
        <v>1.9E-2</v>
      </c>
      <c r="I57" s="154">
        <f>IF(E57=0,"0,0%",G57/E57)</f>
        <v>1</v>
      </c>
      <c r="J57" s="110">
        <f t="shared" si="43"/>
        <v>-9378.2999999999993</v>
      </c>
      <c r="K57" s="109">
        <f t="shared" si="44"/>
        <v>0.36099999999999999</v>
      </c>
      <c r="L57" s="139">
        <f>G57-F57</f>
        <v>1933.7</v>
      </c>
    </row>
    <row r="58" spans="1:13" ht="54" x14ac:dyDescent="0.2">
      <c r="A58" s="18" t="s">
        <v>180</v>
      </c>
      <c r="B58" s="11" t="s">
        <v>138</v>
      </c>
      <c r="C58" s="130">
        <v>4986.2</v>
      </c>
      <c r="D58" s="32">
        <v>5289.5</v>
      </c>
      <c r="E58" s="8">
        <v>3679.6</v>
      </c>
      <c r="F58" s="8">
        <f>20060.2+6310.2</f>
        <v>26370.400000000001</v>
      </c>
      <c r="G58" s="209">
        <v>3679.6</v>
      </c>
      <c r="H58" s="109">
        <f>G58/$G$160</f>
        <v>1.2999999999999999E-2</v>
      </c>
      <c r="I58" s="154">
        <f>IF(E58=0,"0,0%",G58/E58)</f>
        <v>1</v>
      </c>
      <c r="J58" s="110">
        <f t="shared" si="43"/>
        <v>-1609.9</v>
      </c>
      <c r="K58" s="109">
        <f t="shared" si="44"/>
        <v>0.69599999999999995</v>
      </c>
      <c r="L58" s="139">
        <f>G58-F58</f>
        <v>-22690.799999999999</v>
      </c>
    </row>
    <row r="59" spans="1:13" x14ac:dyDescent="0.2">
      <c r="A59" s="18"/>
      <c r="B59" s="11" t="s">
        <v>27</v>
      </c>
      <c r="C59" s="130"/>
      <c r="D59" s="32"/>
      <c r="E59" s="8"/>
      <c r="F59" s="8"/>
      <c r="G59" s="209"/>
      <c r="H59" s="109"/>
      <c r="I59" s="109"/>
      <c r="J59" s="110"/>
      <c r="K59" s="109"/>
      <c r="L59" s="108"/>
    </row>
    <row r="60" spans="1:13" s="49" customFormat="1" ht="40.5" x14ac:dyDescent="0.2">
      <c r="A60" s="18"/>
      <c r="B60" s="41" t="s">
        <v>181</v>
      </c>
      <c r="C60" s="169">
        <v>2735</v>
      </c>
      <c r="D60" s="42">
        <v>2775.2</v>
      </c>
      <c r="E60" s="42">
        <v>1274</v>
      </c>
      <c r="F60" s="42">
        <f>1174.7+89.2</f>
        <v>1263.9000000000001</v>
      </c>
      <c r="G60" s="211">
        <v>1274</v>
      </c>
      <c r="H60" s="118">
        <f>G60/$G$160</f>
        <v>5.0000000000000001E-3</v>
      </c>
      <c r="I60" s="154">
        <f>IF(E60=0,"0,0%",G60/E60)</f>
        <v>1</v>
      </c>
      <c r="J60" s="119">
        <f>G60-D60</f>
        <v>-1501.2</v>
      </c>
      <c r="K60" s="118">
        <f>G60/D60</f>
        <v>0.45900000000000002</v>
      </c>
      <c r="L60" s="124">
        <f>G60-F60</f>
        <v>10.1</v>
      </c>
    </row>
    <row r="61" spans="1:13" ht="40.5" x14ac:dyDescent="0.2">
      <c r="A61" s="18" t="s">
        <v>63</v>
      </c>
      <c r="B61" s="11" t="s">
        <v>139</v>
      </c>
      <c r="C61" s="130">
        <v>184.2</v>
      </c>
      <c r="D61" s="32">
        <v>184.2</v>
      </c>
      <c r="E61" s="8">
        <v>131.80000000000001</v>
      </c>
      <c r="F61" s="8">
        <v>2606.3000000000002</v>
      </c>
      <c r="G61" s="209">
        <v>131.30000000000001</v>
      </c>
      <c r="H61" s="109">
        <f>G61/$G$160</f>
        <v>0</v>
      </c>
      <c r="I61" s="154">
        <f>IF(E61=0,"0,0%",G61/E61)</f>
        <v>0.996</v>
      </c>
      <c r="J61" s="110">
        <f t="shared" si="43"/>
        <v>-52.9</v>
      </c>
      <c r="K61" s="109">
        <f t="shared" si="44"/>
        <v>0.71299999999999997</v>
      </c>
      <c r="L61" s="108">
        <f t="shared" ref="L61:L134" si="45">G61-F61</f>
        <v>-2475</v>
      </c>
    </row>
    <row r="62" spans="1:13" x14ac:dyDescent="0.2">
      <c r="A62" s="18"/>
      <c r="B62" s="11" t="s">
        <v>27</v>
      </c>
      <c r="C62" s="130"/>
      <c r="D62" s="32"/>
      <c r="E62" s="8"/>
      <c r="F62" s="8"/>
      <c r="G62" s="209"/>
      <c r="H62" s="109"/>
      <c r="I62" s="109"/>
      <c r="J62" s="110"/>
      <c r="K62" s="109"/>
      <c r="L62" s="108"/>
    </row>
    <row r="63" spans="1:13" s="49" customFormat="1" ht="54" x14ac:dyDescent="0.2">
      <c r="A63" s="18"/>
      <c r="B63" s="41" t="s">
        <v>172</v>
      </c>
      <c r="C63" s="169">
        <v>0</v>
      </c>
      <c r="D63" s="42">
        <v>0</v>
      </c>
      <c r="E63" s="42">
        <v>0</v>
      </c>
      <c r="F63" s="42">
        <v>244.8</v>
      </c>
      <c r="G63" s="211">
        <v>0</v>
      </c>
      <c r="H63" s="118">
        <f>G63/$G$160</f>
        <v>0</v>
      </c>
      <c r="I63" s="154" t="str">
        <f>IF(E63=0,"0,0%",G63/E63)</f>
        <v>0,0%</v>
      </c>
      <c r="J63" s="119">
        <f>G63-D63</f>
        <v>0</v>
      </c>
      <c r="K63" s="118">
        <v>0</v>
      </c>
      <c r="L63" s="124">
        <f>G63-F63</f>
        <v>-244.8</v>
      </c>
    </row>
    <row r="64" spans="1:13" ht="27" hidden="1" x14ac:dyDescent="0.2">
      <c r="A64" s="18" t="s">
        <v>146</v>
      </c>
      <c r="B64" s="11" t="s">
        <v>147</v>
      </c>
      <c r="C64" s="130">
        <v>0</v>
      </c>
      <c r="D64" s="32">
        <v>0</v>
      </c>
      <c r="E64" s="8">
        <v>0</v>
      </c>
      <c r="F64" s="8">
        <v>0</v>
      </c>
      <c r="G64" s="209">
        <v>0</v>
      </c>
      <c r="H64" s="109">
        <f>G64/$G$160</f>
        <v>0</v>
      </c>
      <c r="I64" s="154" t="str">
        <f>IF(E64=0,"0,0%",G64/E64)</f>
        <v>0,0%</v>
      </c>
      <c r="J64" s="110">
        <f t="shared" si="43"/>
        <v>0</v>
      </c>
      <c r="K64" s="109">
        <v>0</v>
      </c>
      <c r="L64" s="108">
        <f t="shared" si="45"/>
        <v>0</v>
      </c>
    </row>
    <row r="65" spans="1:12" x14ac:dyDescent="0.2">
      <c r="A65" s="18" t="s">
        <v>82</v>
      </c>
      <c r="B65" s="11" t="s">
        <v>23</v>
      </c>
      <c r="C65" s="130">
        <v>5000</v>
      </c>
      <c r="D65" s="32">
        <v>5000</v>
      </c>
      <c r="E65" s="8">
        <v>0</v>
      </c>
      <c r="F65" s="8">
        <v>0</v>
      </c>
      <c r="G65" s="209">
        <v>0</v>
      </c>
      <c r="H65" s="109">
        <f>G65/$G$160</f>
        <v>0</v>
      </c>
      <c r="I65" s="154" t="str">
        <f>IF(E65=0,"0,0%",G65/E65)</f>
        <v>0,0%</v>
      </c>
      <c r="J65" s="110">
        <f t="shared" si="43"/>
        <v>-5000</v>
      </c>
      <c r="K65" s="109">
        <f t="shared" si="44"/>
        <v>0</v>
      </c>
      <c r="L65" s="108">
        <f t="shared" si="45"/>
        <v>0</v>
      </c>
    </row>
    <row r="66" spans="1:12" s="1" customFormat="1" x14ac:dyDescent="0.2">
      <c r="A66" s="18" t="s">
        <v>86</v>
      </c>
      <c r="B66" s="11" t="s">
        <v>140</v>
      </c>
      <c r="C66" s="130">
        <v>3047</v>
      </c>
      <c r="D66" s="32">
        <v>2750.4</v>
      </c>
      <c r="E66" s="8">
        <v>436.8</v>
      </c>
      <c r="F66" s="8">
        <f>10191.1+2</f>
        <v>10193.1</v>
      </c>
      <c r="G66" s="209">
        <v>436.8</v>
      </c>
      <c r="H66" s="109">
        <f>G66/$G$160</f>
        <v>2E-3</v>
      </c>
      <c r="I66" s="154">
        <f>IF(E66=0,"0,0%",G66/E66)</f>
        <v>1</v>
      </c>
      <c r="J66" s="110">
        <f t="shared" si="43"/>
        <v>-2313.6</v>
      </c>
      <c r="K66" s="109">
        <f t="shared" si="44"/>
        <v>0.159</v>
      </c>
      <c r="L66" s="108">
        <f t="shared" si="45"/>
        <v>-9756.2999999999993</v>
      </c>
    </row>
    <row r="67" spans="1:12" s="1" customFormat="1" hidden="1" x14ac:dyDescent="0.2">
      <c r="A67" s="18"/>
      <c r="B67" s="9" t="s">
        <v>27</v>
      </c>
      <c r="C67" s="130"/>
      <c r="D67" s="32"/>
      <c r="E67" s="8"/>
      <c r="F67" s="8"/>
      <c r="G67" s="209"/>
      <c r="H67" s="109"/>
      <c r="I67" s="109"/>
      <c r="J67" s="110"/>
      <c r="K67" s="109"/>
      <c r="L67" s="108"/>
    </row>
    <row r="68" spans="1:12" s="1" customFormat="1" ht="54" hidden="1" x14ac:dyDescent="0.2">
      <c r="A68" s="18"/>
      <c r="B68" s="10" t="s">
        <v>115</v>
      </c>
      <c r="C68" s="130"/>
      <c r="D68" s="32"/>
      <c r="E68" s="8"/>
      <c r="F68" s="8">
        <v>3021.7</v>
      </c>
      <c r="G68" s="209"/>
      <c r="H68" s="109">
        <f>G68/$G$160</f>
        <v>0</v>
      </c>
      <c r="I68" s="154" t="str">
        <f>IF(E68=0,"0,0%",G68/E68)</f>
        <v>0,0%</v>
      </c>
      <c r="J68" s="110">
        <f t="shared" si="43"/>
        <v>0</v>
      </c>
      <c r="K68" s="109" t="e">
        <f t="shared" si="44"/>
        <v>#DIV/0!</v>
      </c>
      <c r="L68" s="108">
        <f t="shared" si="45"/>
        <v>-3021.7</v>
      </c>
    </row>
    <row r="69" spans="1:12" s="1" customFormat="1" ht="27" hidden="1" x14ac:dyDescent="0.2">
      <c r="A69" s="18"/>
      <c r="B69" s="10" t="s">
        <v>116</v>
      </c>
      <c r="C69" s="130"/>
      <c r="D69" s="32"/>
      <c r="E69" s="8"/>
      <c r="F69" s="8">
        <v>3058.2</v>
      </c>
      <c r="G69" s="209"/>
      <c r="H69" s="109">
        <f>G69/$G$160</f>
        <v>0</v>
      </c>
      <c r="I69" s="154" t="str">
        <f>IF(E69=0,"0,0%",G69/E69)</f>
        <v>0,0%</v>
      </c>
      <c r="J69" s="110">
        <f t="shared" si="43"/>
        <v>0</v>
      </c>
      <c r="K69" s="109" t="e">
        <f t="shared" si="44"/>
        <v>#DIV/0!</v>
      </c>
      <c r="L69" s="108">
        <f t="shared" si="45"/>
        <v>-3058.2</v>
      </c>
    </row>
    <row r="70" spans="1:12" s="1" customFormat="1" x14ac:dyDescent="0.2">
      <c r="A70" s="135"/>
      <c r="B70" s="176" t="s">
        <v>154</v>
      </c>
      <c r="C70" s="142"/>
      <c r="D70" s="142"/>
      <c r="E70" s="137"/>
      <c r="F70" s="137"/>
      <c r="G70" s="209"/>
      <c r="H70" s="109"/>
      <c r="I70" s="109"/>
      <c r="J70" s="110"/>
      <c r="K70" s="109"/>
      <c r="L70" s="108"/>
    </row>
    <row r="71" spans="1:12" ht="27" x14ac:dyDescent="0.2">
      <c r="A71" s="127"/>
      <c r="B71" s="128" t="s">
        <v>117</v>
      </c>
      <c r="C71" s="137">
        <v>13738.1</v>
      </c>
      <c r="D71" s="137">
        <v>15320.9</v>
      </c>
      <c r="E71" s="137">
        <v>6892.8</v>
      </c>
      <c r="F71" s="137">
        <f>26335.4+5661</f>
        <v>31996.400000000001</v>
      </c>
      <c r="G71" s="209">
        <v>6892.7</v>
      </c>
      <c r="H71" s="109">
        <f>G71/$G$160</f>
        <v>2.5000000000000001E-2</v>
      </c>
      <c r="I71" s="154">
        <f>IF(E71=0,"0,0%",G71/E71)</f>
        <v>1</v>
      </c>
      <c r="J71" s="110">
        <f t="shared" ref="J71:J74" si="46">G71-D71</f>
        <v>-8428.2000000000007</v>
      </c>
      <c r="K71" s="109">
        <f t="shared" ref="K71:K74" si="47">G71/D71</f>
        <v>0.45</v>
      </c>
      <c r="L71" s="108">
        <f t="shared" ref="L71:L74" si="48">G71-F71</f>
        <v>-25103.7</v>
      </c>
    </row>
    <row r="72" spans="1:12" x14ac:dyDescent="0.2">
      <c r="A72" s="135"/>
      <c r="B72" s="128" t="s">
        <v>121</v>
      </c>
      <c r="C72" s="137">
        <v>0</v>
      </c>
      <c r="D72" s="137">
        <v>255.2</v>
      </c>
      <c r="E72" s="137">
        <v>237.6</v>
      </c>
      <c r="F72" s="137">
        <f>1827.1+160.8</f>
        <v>1987.9</v>
      </c>
      <c r="G72" s="209">
        <v>237.6</v>
      </c>
      <c r="H72" s="109">
        <f>G72/$G$160</f>
        <v>1E-3</v>
      </c>
      <c r="I72" s="154">
        <f>IF(E72=0,"0,0%",G72/E72)</f>
        <v>1</v>
      </c>
      <c r="J72" s="110">
        <f t="shared" ref="J72" si="49">G72-D72</f>
        <v>-17.600000000000001</v>
      </c>
      <c r="K72" s="109">
        <f t="shared" ref="K72" si="50">G72/D72</f>
        <v>0.93100000000000005</v>
      </c>
      <c r="L72" s="108">
        <f t="shared" ref="L72" si="51">G72-F72</f>
        <v>-1750.3</v>
      </c>
    </row>
    <row r="73" spans="1:12" x14ac:dyDescent="0.2">
      <c r="A73" s="127"/>
      <c r="B73" s="145" t="s">
        <v>188</v>
      </c>
      <c r="C73" s="142">
        <v>320</v>
      </c>
      <c r="D73" s="142">
        <v>320</v>
      </c>
      <c r="E73" s="142">
        <v>79.3</v>
      </c>
      <c r="F73" s="142">
        <v>81.3</v>
      </c>
      <c r="G73" s="212">
        <v>79.3</v>
      </c>
      <c r="H73" s="109">
        <f>G73/$G$160</f>
        <v>0</v>
      </c>
      <c r="I73" s="154">
        <f>IF(E73=0,"0,0%",G73/E73)</f>
        <v>1</v>
      </c>
      <c r="J73" s="110">
        <f t="shared" si="46"/>
        <v>-240.7</v>
      </c>
      <c r="K73" s="109">
        <f t="shared" si="47"/>
        <v>0.248</v>
      </c>
      <c r="L73" s="108">
        <f t="shared" si="48"/>
        <v>-2</v>
      </c>
    </row>
    <row r="74" spans="1:12" s="28" customFormat="1" x14ac:dyDescent="0.2">
      <c r="A74" s="95" t="s">
        <v>234</v>
      </c>
      <c r="B74" s="101" t="s">
        <v>235</v>
      </c>
      <c r="C74" s="97">
        <f>C76+C78</f>
        <v>0</v>
      </c>
      <c r="D74" s="97">
        <f t="shared" ref="D74:E74" si="52">D76+D78</f>
        <v>0</v>
      </c>
      <c r="E74" s="97">
        <f t="shared" si="52"/>
        <v>0</v>
      </c>
      <c r="F74" s="224">
        <f>F76+F78</f>
        <v>203.6</v>
      </c>
      <c r="G74" s="210">
        <f t="shared" ref="G74" si="53">G76+G78</f>
        <v>0</v>
      </c>
      <c r="H74" s="98">
        <f>G74/$G$160</f>
        <v>0</v>
      </c>
      <c r="I74" s="154" t="str">
        <f>IF(E74=0,"0,0%",G74/E74)</f>
        <v>0,0%</v>
      </c>
      <c r="J74" s="99">
        <f t="shared" si="46"/>
        <v>0</v>
      </c>
      <c r="K74" s="98" t="e">
        <f t="shared" si="47"/>
        <v>#DIV/0!</v>
      </c>
      <c r="L74" s="100">
        <f t="shared" si="48"/>
        <v>-203.6</v>
      </c>
    </row>
    <row r="75" spans="1:12" s="28" customFormat="1" x14ac:dyDescent="0.2">
      <c r="A75" s="20"/>
      <c r="B75" s="188" t="s">
        <v>183</v>
      </c>
      <c r="C75" s="189"/>
      <c r="D75" s="189"/>
      <c r="E75" s="189"/>
      <c r="F75" s="189"/>
      <c r="G75" s="210"/>
      <c r="H75" s="190"/>
      <c r="I75" s="191"/>
      <c r="J75" s="192"/>
      <c r="K75" s="190"/>
      <c r="L75" s="43"/>
    </row>
    <row r="76" spans="1:12" s="49" customFormat="1" x14ac:dyDescent="0.2">
      <c r="A76" s="18" t="s">
        <v>236</v>
      </c>
      <c r="B76" s="21" t="s">
        <v>237</v>
      </c>
      <c r="C76" s="170"/>
      <c r="D76" s="23"/>
      <c r="E76" s="23">
        <v>0</v>
      </c>
      <c r="F76" s="23">
        <v>203.6</v>
      </c>
      <c r="G76" s="213">
        <v>0</v>
      </c>
      <c r="H76" s="109">
        <f>G76/$G$160</f>
        <v>0</v>
      </c>
      <c r="I76" s="154" t="str">
        <f>IF(E76=0,"0,0%",G76/E76)</f>
        <v>0,0%</v>
      </c>
      <c r="J76" s="110">
        <f t="shared" ref="J76" si="54">G76-D76</f>
        <v>0</v>
      </c>
      <c r="K76" s="109">
        <v>0</v>
      </c>
      <c r="L76" s="108">
        <f t="shared" ref="L76" si="55">G76-F76</f>
        <v>-203.6</v>
      </c>
    </row>
    <row r="77" spans="1:12" s="28" customFormat="1" ht="27" x14ac:dyDescent="0.2">
      <c r="A77" s="95" t="s">
        <v>103</v>
      </c>
      <c r="B77" s="101" t="s">
        <v>104</v>
      </c>
      <c r="C77" s="97">
        <f>C79+C81</f>
        <v>7785.7</v>
      </c>
      <c r="D77" s="97">
        <f t="shared" ref="D77:G77" si="56">D79+D81</f>
        <v>7785.7</v>
      </c>
      <c r="E77" s="97">
        <f t="shared" si="56"/>
        <v>5014.3</v>
      </c>
      <c r="F77" s="224">
        <f>F79+F81</f>
        <v>3165.4</v>
      </c>
      <c r="G77" s="210">
        <f t="shared" si="56"/>
        <v>5014.3</v>
      </c>
      <c r="H77" s="98">
        <f>G77/$G$160</f>
        <v>1.7999999999999999E-2</v>
      </c>
      <c r="I77" s="154">
        <f>IF(E77=0,"0,0%",G77/E77)</f>
        <v>1</v>
      </c>
      <c r="J77" s="99">
        <f t="shared" si="43"/>
        <v>-2771.4</v>
      </c>
      <c r="K77" s="98">
        <f t="shared" si="44"/>
        <v>0.64400000000000002</v>
      </c>
      <c r="L77" s="100">
        <f t="shared" si="45"/>
        <v>1848.9</v>
      </c>
    </row>
    <row r="78" spans="1:12" s="28" customFormat="1" x14ac:dyDescent="0.2">
      <c r="A78" s="20"/>
      <c r="B78" s="188" t="s">
        <v>183</v>
      </c>
      <c r="C78" s="189"/>
      <c r="D78" s="189"/>
      <c r="E78" s="189"/>
      <c r="F78" s="189"/>
      <c r="G78" s="210"/>
      <c r="H78" s="190"/>
      <c r="I78" s="191"/>
      <c r="J78" s="192"/>
      <c r="K78" s="190"/>
      <c r="L78" s="43"/>
    </row>
    <row r="79" spans="1:12" s="49" customFormat="1" ht="40.5" x14ac:dyDescent="0.2">
      <c r="A79" s="18" t="s">
        <v>182</v>
      </c>
      <c r="B79" s="21" t="s">
        <v>128</v>
      </c>
      <c r="C79" s="170">
        <v>176</v>
      </c>
      <c r="D79" s="23">
        <v>176</v>
      </c>
      <c r="E79" s="23">
        <v>0</v>
      </c>
      <c r="F79" s="23">
        <v>0</v>
      </c>
      <c r="G79" s="213">
        <v>0</v>
      </c>
      <c r="H79" s="109">
        <f>G79/$G$160</f>
        <v>0</v>
      </c>
      <c r="I79" s="154" t="str">
        <f>IF(E79=0,"0,0%",G79/E79)</f>
        <v>0,0%</v>
      </c>
      <c r="J79" s="110">
        <f t="shared" si="43"/>
        <v>-176</v>
      </c>
      <c r="K79" s="109">
        <f t="shared" si="44"/>
        <v>0</v>
      </c>
      <c r="L79" s="108">
        <f t="shared" si="45"/>
        <v>0</v>
      </c>
    </row>
    <row r="80" spans="1:12" s="49" customFormat="1" hidden="1" x14ac:dyDescent="0.2">
      <c r="A80" s="18"/>
      <c r="B80" s="9" t="s">
        <v>27</v>
      </c>
      <c r="C80" s="170"/>
      <c r="D80" s="23"/>
      <c r="E80" s="42"/>
      <c r="F80" s="42"/>
      <c r="G80" s="211"/>
      <c r="H80" s="109"/>
      <c r="I80" s="109"/>
      <c r="J80" s="110"/>
      <c r="K80" s="109"/>
      <c r="L80" s="108"/>
    </row>
    <row r="81" spans="1:13" s="49" customFormat="1" ht="54" x14ac:dyDescent="0.2">
      <c r="A81" s="18" t="s">
        <v>182</v>
      </c>
      <c r="B81" s="41" t="s">
        <v>184</v>
      </c>
      <c r="C81" s="169">
        <v>7609.7</v>
      </c>
      <c r="D81" s="42">
        <v>7609.7</v>
      </c>
      <c r="E81" s="42">
        <v>5014.3</v>
      </c>
      <c r="F81" s="42">
        <v>3165.4</v>
      </c>
      <c r="G81" s="211">
        <v>5014.3</v>
      </c>
      <c r="H81" s="118">
        <f>G81/$G$160</f>
        <v>1.7999999999999999E-2</v>
      </c>
      <c r="I81" s="154">
        <f>IF(E81=0,"0,0%",G81/E81)</f>
        <v>1</v>
      </c>
      <c r="J81" s="119">
        <f>G81-D81</f>
        <v>-2595.4</v>
      </c>
      <c r="K81" s="118">
        <f>G81/D81</f>
        <v>0.65900000000000003</v>
      </c>
      <c r="L81" s="124">
        <f>G81-F81</f>
        <v>1848.9</v>
      </c>
    </row>
    <row r="82" spans="1:13" s="49" customFormat="1" hidden="1" x14ac:dyDescent="0.2">
      <c r="A82" s="135"/>
      <c r="B82" s="176" t="s">
        <v>155</v>
      </c>
      <c r="C82" s="143"/>
      <c r="D82" s="143"/>
      <c r="E82" s="144"/>
      <c r="F82" s="42"/>
      <c r="G82" s="211"/>
      <c r="H82" s="109"/>
      <c r="I82" s="109"/>
      <c r="J82" s="110"/>
      <c r="K82" s="109"/>
      <c r="L82" s="108"/>
    </row>
    <row r="83" spans="1:13" s="49" customFormat="1" hidden="1" x14ac:dyDescent="0.2">
      <c r="A83" s="135"/>
      <c r="B83" s="145" t="s">
        <v>127</v>
      </c>
      <c r="C83" s="143"/>
      <c r="D83" s="143"/>
      <c r="E83" s="144"/>
      <c r="F83" s="42">
        <v>0</v>
      </c>
      <c r="G83" s="211">
        <v>0</v>
      </c>
      <c r="H83" s="109">
        <f>G83/$G$160</f>
        <v>0</v>
      </c>
      <c r="I83" s="154" t="str">
        <f>IF(E83=0,"0,0%",G83/E83)</f>
        <v>0,0%</v>
      </c>
      <c r="J83" s="110">
        <f>G83-D83</f>
        <v>0</v>
      </c>
      <c r="K83" s="109" t="e">
        <f>G83/D83</f>
        <v>#DIV/0!</v>
      </c>
      <c r="L83" s="108">
        <f>G83-F83</f>
        <v>0</v>
      </c>
    </row>
    <row r="84" spans="1:13" s="28" customFormat="1" x14ac:dyDescent="0.2">
      <c r="A84" s="95" t="s">
        <v>24</v>
      </c>
      <c r="B84" s="96" t="s">
        <v>26</v>
      </c>
      <c r="C84" s="97">
        <f>C85+C89+C97</f>
        <v>233168.6</v>
      </c>
      <c r="D84" s="97">
        <f>D85+D89+D97</f>
        <v>226327.9</v>
      </c>
      <c r="E84" s="97">
        <f>E85+E89+E97</f>
        <v>137348.1</v>
      </c>
      <c r="F84" s="224">
        <f>F85+F89+F97</f>
        <v>127219.6</v>
      </c>
      <c r="G84" s="210">
        <f>G85+G89+G97</f>
        <v>135573.20000000001</v>
      </c>
      <c r="H84" s="98">
        <f>G84/$G$160</f>
        <v>0.497</v>
      </c>
      <c r="I84" s="154">
        <f>IF(E84=0,"0,0%",G84/E84)</f>
        <v>0.98699999999999999</v>
      </c>
      <c r="J84" s="99">
        <f t="shared" si="43"/>
        <v>-90754.7</v>
      </c>
      <c r="K84" s="98">
        <f t="shared" si="44"/>
        <v>0.59899999999999998</v>
      </c>
      <c r="L84" s="100">
        <f t="shared" si="45"/>
        <v>8353.6</v>
      </c>
      <c r="M84" s="28">
        <v>-0.1</v>
      </c>
    </row>
    <row r="85" spans="1:13" x14ac:dyDescent="0.2">
      <c r="A85" s="4" t="s">
        <v>54</v>
      </c>
      <c r="B85" s="10" t="s">
        <v>105</v>
      </c>
      <c r="C85" s="129">
        <v>25000</v>
      </c>
      <c r="D85" s="8">
        <v>25000</v>
      </c>
      <c r="E85" s="8">
        <v>14900</v>
      </c>
      <c r="F85" s="8">
        <v>11875.7</v>
      </c>
      <c r="G85" s="209">
        <v>13125.3</v>
      </c>
      <c r="H85" s="109">
        <f>G85/$G$160</f>
        <v>4.8000000000000001E-2</v>
      </c>
      <c r="I85" s="154">
        <f>IF(E85=0,"0,0%",G85/E85)</f>
        <v>0.88100000000000001</v>
      </c>
      <c r="J85" s="110">
        <f t="shared" si="43"/>
        <v>-11874.7</v>
      </c>
      <c r="K85" s="109">
        <f t="shared" si="44"/>
        <v>0.52500000000000002</v>
      </c>
      <c r="L85" s="108">
        <f t="shared" si="45"/>
        <v>1249.5999999999999</v>
      </c>
    </row>
    <row r="86" spans="1:13" x14ac:dyDescent="0.2">
      <c r="A86" s="4"/>
      <c r="B86" s="9" t="s">
        <v>27</v>
      </c>
      <c r="C86" s="129"/>
      <c r="D86" s="8"/>
      <c r="E86" s="8"/>
      <c r="F86" s="222"/>
      <c r="G86" s="214"/>
      <c r="H86" s="109"/>
      <c r="I86" s="109"/>
      <c r="J86" s="110"/>
      <c r="K86" s="109"/>
      <c r="L86" s="108"/>
    </row>
    <row r="87" spans="1:13" ht="54" x14ac:dyDescent="0.2">
      <c r="A87" s="4"/>
      <c r="B87" s="10" t="s">
        <v>131</v>
      </c>
      <c r="C87" s="129">
        <v>25000</v>
      </c>
      <c r="D87" s="8">
        <v>25000</v>
      </c>
      <c r="E87" s="8">
        <v>14900</v>
      </c>
      <c r="F87" s="8">
        <v>11875.7</v>
      </c>
      <c r="G87" s="209">
        <v>13125.3</v>
      </c>
      <c r="H87" s="109">
        <f>G87/$G$160</f>
        <v>4.8000000000000001E-2</v>
      </c>
      <c r="I87" s="154">
        <f>IF(E87=0,"0,0%",G87/E87)</f>
        <v>0.88100000000000001</v>
      </c>
      <c r="J87" s="110">
        <f t="shared" si="43"/>
        <v>-11874.7</v>
      </c>
      <c r="K87" s="109">
        <f t="shared" si="44"/>
        <v>0.52500000000000002</v>
      </c>
      <c r="L87" s="108">
        <f t="shared" si="45"/>
        <v>1249.5999999999999</v>
      </c>
    </row>
    <row r="88" spans="1:13" s="49" customFormat="1" hidden="1" x14ac:dyDescent="0.2">
      <c r="A88" s="18"/>
      <c r="B88" s="41" t="s">
        <v>173</v>
      </c>
      <c r="C88" s="169"/>
      <c r="D88" s="42"/>
      <c r="E88" s="42"/>
      <c r="F88" s="42">
        <v>0</v>
      </c>
      <c r="G88" s="211"/>
      <c r="H88" s="118">
        <f>G88/$G$160</f>
        <v>0</v>
      </c>
      <c r="I88" s="154" t="str">
        <f>IF(E88=0,"0,0%",G88/E88)</f>
        <v>0,0%</v>
      </c>
      <c r="J88" s="119">
        <f>G88-D88</f>
        <v>0</v>
      </c>
      <c r="K88" s="118" t="e">
        <f>G88/D88</f>
        <v>#DIV/0!</v>
      </c>
      <c r="L88" s="124">
        <f>G88-F88</f>
        <v>0</v>
      </c>
    </row>
    <row r="89" spans="1:13" s="1" customFormat="1" x14ac:dyDescent="0.2">
      <c r="A89" s="4" t="s">
        <v>106</v>
      </c>
      <c r="B89" s="10" t="s">
        <v>107</v>
      </c>
      <c r="C89" s="129">
        <v>204925.1</v>
      </c>
      <c r="D89" s="8">
        <v>198030.9</v>
      </c>
      <c r="E89" s="8">
        <v>121371.8</v>
      </c>
      <c r="F89" s="8">
        <f>106399.8+8062</f>
        <v>114461.8</v>
      </c>
      <c r="G89" s="209">
        <v>121371.6</v>
      </c>
      <c r="H89" s="109">
        <f>G89/$G$160</f>
        <v>0.44500000000000001</v>
      </c>
      <c r="I89" s="154">
        <f>IF(E89=0,"0,0%",G89/E89)</f>
        <v>1</v>
      </c>
      <c r="J89" s="110">
        <f t="shared" si="43"/>
        <v>-76659.3</v>
      </c>
      <c r="K89" s="109">
        <f t="shared" si="44"/>
        <v>0.61299999999999999</v>
      </c>
      <c r="L89" s="108">
        <f t="shared" si="45"/>
        <v>6909.8</v>
      </c>
    </row>
    <row r="90" spans="1:13" s="1" customFormat="1" x14ac:dyDescent="0.2">
      <c r="A90" s="4"/>
      <c r="B90" s="9" t="s">
        <v>27</v>
      </c>
      <c r="C90" s="129"/>
      <c r="D90" s="8"/>
      <c r="E90" s="8"/>
      <c r="F90" s="223"/>
      <c r="G90" s="215"/>
      <c r="H90" s="109"/>
      <c r="I90" s="109"/>
      <c r="J90" s="110"/>
      <c r="K90" s="109"/>
      <c r="L90" s="108"/>
    </row>
    <row r="91" spans="1:13" s="1" customFormat="1" ht="27" x14ac:dyDescent="0.2">
      <c r="A91" s="4"/>
      <c r="B91" s="10" t="s">
        <v>108</v>
      </c>
      <c r="C91" s="129">
        <v>146027.20000000001</v>
      </c>
      <c r="D91" s="8">
        <f>135503.2+3700</f>
        <v>139203.20000000001</v>
      </c>
      <c r="E91" s="8">
        <v>120679.6</v>
      </c>
      <c r="F91" s="8">
        <f>86054.7+8061.9</f>
        <v>94116.6</v>
      </c>
      <c r="G91" s="209">
        <v>120679.6</v>
      </c>
      <c r="H91" s="109">
        <f t="shared" ref="H91:H97" si="57">G91/$G$160</f>
        <v>0.442</v>
      </c>
      <c r="I91" s="154">
        <f t="shared" ref="I91:I97" si="58">IF(E91=0,"0,0%",G91/E91)</f>
        <v>1</v>
      </c>
      <c r="J91" s="110">
        <f t="shared" si="43"/>
        <v>-18523.599999999999</v>
      </c>
      <c r="K91" s="109">
        <f t="shared" si="44"/>
        <v>0.86699999999999999</v>
      </c>
      <c r="L91" s="108">
        <f t="shared" si="45"/>
        <v>26563</v>
      </c>
    </row>
    <row r="92" spans="1:13" s="1" customFormat="1" ht="30.75" customHeight="1" x14ac:dyDescent="0.2">
      <c r="A92" s="193" t="s">
        <v>219</v>
      </c>
      <c r="B92" s="10" t="s">
        <v>109</v>
      </c>
      <c r="C92" s="129">
        <v>58897.9</v>
      </c>
      <c r="D92" s="8">
        <f>200+33013.2+2151.8+251.3+11120.2</f>
        <v>46736.5</v>
      </c>
      <c r="E92" s="8">
        <v>0</v>
      </c>
      <c r="F92" s="222">
        <v>9038.7999999999993</v>
      </c>
      <c r="G92" s="209">
        <v>0</v>
      </c>
      <c r="H92" s="109">
        <f t="shared" si="57"/>
        <v>0</v>
      </c>
      <c r="I92" s="154" t="str">
        <f t="shared" si="58"/>
        <v>0,0%</v>
      </c>
      <c r="J92" s="110">
        <f t="shared" si="43"/>
        <v>-46736.5</v>
      </c>
      <c r="K92" s="109">
        <f t="shared" si="44"/>
        <v>0</v>
      </c>
      <c r="L92" s="108">
        <f t="shared" si="45"/>
        <v>-9038.7999999999993</v>
      </c>
    </row>
    <row r="93" spans="1:13" s="1" customFormat="1" ht="67.5" hidden="1" x14ac:dyDescent="0.2">
      <c r="A93" s="4"/>
      <c r="B93" s="10" t="s">
        <v>148</v>
      </c>
      <c r="C93" s="129"/>
      <c r="D93" s="8"/>
      <c r="E93" s="8"/>
      <c r="F93" s="222">
        <v>0</v>
      </c>
      <c r="G93" s="209">
        <v>0</v>
      </c>
      <c r="H93" s="109">
        <f t="shared" si="57"/>
        <v>0</v>
      </c>
      <c r="I93" s="154" t="str">
        <f t="shared" si="58"/>
        <v>0,0%</v>
      </c>
      <c r="J93" s="110">
        <f t="shared" si="43"/>
        <v>0</v>
      </c>
      <c r="K93" s="109" t="e">
        <f t="shared" si="44"/>
        <v>#DIV/0!</v>
      </c>
      <c r="L93" s="108">
        <f t="shared" si="45"/>
        <v>0</v>
      </c>
    </row>
    <row r="94" spans="1:13" s="1" customFormat="1" ht="54" hidden="1" x14ac:dyDescent="0.2">
      <c r="A94" s="4"/>
      <c r="B94" s="10" t="s">
        <v>149</v>
      </c>
      <c r="C94" s="129"/>
      <c r="D94" s="8"/>
      <c r="E94" s="8"/>
      <c r="F94" s="222">
        <v>0</v>
      </c>
      <c r="G94" s="209">
        <v>0</v>
      </c>
      <c r="H94" s="109">
        <f t="shared" si="57"/>
        <v>0</v>
      </c>
      <c r="I94" s="154" t="str">
        <f t="shared" si="58"/>
        <v>0,0%</v>
      </c>
      <c r="J94" s="110">
        <f t="shared" si="43"/>
        <v>0</v>
      </c>
      <c r="K94" s="109" t="e">
        <f t="shared" si="44"/>
        <v>#DIV/0!</v>
      </c>
      <c r="L94" s="108">
        <f t="shared" si="45"/>
        <v>0</v>
      </c>
    </row>
    <row r="95" spans="1:13" s="1" customFormat="1" ht="40.5" hidden="1" x14ac:dyDescent="0.2">
      <c r="A95" s="4"/>
      <c r="B95" s="10" t="s">
        <v>110</v>
      </c>
      <c r="C95" s="129"/>
      <c r="D95" s="8"/>
      <c r="E95" s="8"/>
      <c r="F95" s="222">
        <v>0</v>
      </c>
      <c r="G95" s="209">
        <v>0</v>
      </c>
      <c r="H95" s="109">
        <f t="shared" si="57"/>
        <v>0</v>
      </c>
      <c r="I95" s="154" t="str">
        <f t="shared" si="58"/>
        <v>0,0%</v>
      </c>
      <c r="J95" s="110">
        <f t="shared" si="43"/>
        <v>0</v>
      </c>
      <c r="K95" s="109" t="e">
        <f>G95/D95</f>
        <v>#DIV/0!</v>
      </c>
      <c r="L95" s="108">
        <f t="shared" si="45"/>
        <v>0</v>
      </c>
    </row>
    <row r="96" spans="1:13" s="49" customFormat="1" hidden="1" x14ac:dyDescent="0.2">
      <c r="A96" s="18"/>
      <c r="B96" s="41" t="s">
        <v>173</v>
      </c>
      <c r="C96" s="169"/>
      <c r="D96" s="42"/>
      <c r="E96" s="42"/>
      <c r="F96" s="222">
        <v>0</v>
      </c>
      <c r="G96" s="211">
        <v>0</v>
      </c>
      <c r="H96" s="118">
        <f t="shared" si="57"/>
        <v>0</v>
      </c>
      <c r="I96" s="154" t="str">
        <f>IF(E96=0,"0,0%",G96/E96)</f>
        <v>0,0%</v>
      </c>
      <c r="J96" s="119">
        <f>G96-D96</f>
        <v>0</v>
      </c>
      <c r="K96" s="118" t="e">
        <f>G96/D96</f>
        <v>#DIV/0!</v>
      </c>
      <c r="L96" s="124">
        <f>G96-F96</f>
        <v>0</v>
      </c>
    </row>
    <row r="97" spans="1:12" s="1" customFormat="1" ht="27" x14ac:dyDescent="0.2">
      <c r="A97" s="4" t="s">
        <v>185</v>
      </c>
      <c r="B97" s="10" t="s">
        <v>164</v>
      </c>
      <c r="C97" s="129">
        <v>3243.5</v>
      </c>
      <c r="D97" s="8">
        <v>3297</v>
      </c>
      <c r="E97" s="8">
        <v>1076.3</v>
      </c>
      <c r="F97" s="222">
        <f>773.2+108.9</f>
        <v>882.1</v>
      </c>
      <c r="G97" s="209">
        <v>1076.3</v>
      </c>
      <c r="H97" s="109">
        <f t="shared" si="57"/>
        <v>4.0000000000000001E-3</v>
      </c>
      <c r="I97" s="154">
        <f t="shared" si="58"/>
        <v>1</v>
      </c>
      <c r="J97" s="110">
        <f t="shared" si="43"/>
        <v>-2220.6999999999998</v>
      </c>
      <c r="K97" s="109">
        <f t="shared" si="44"/>
        <v>0.32600000000000001</v>
      </c>
      <c r="L97" s="108">
        <f>G97-F97</f>
        <v>194.2</v>
      </c>
    </row>
    <row r="98" spans="1:12" s="1" customFormat="1" x14ac:dyDescent="0.2">
      <c r="A98" s="4"/>
      <c r="B98" s="9" t="s">
        <v>27</v>
      </c>
      <c r="C98" s="129"/>
      <c r="D98" s="8"/>
      <c r="E98" s="8"/>
      <c r="F98" s="222"/>
      <c r="G98" s="209"/>
      <c r="H98" s="109"/>
      <c r="I98" s="109"/>
      <c r="J98" s="110"/>
      <c r="K98" s="109"/>
      <c r="L98" s="108"/>
    </row>
    <row r="99" spans="1:12" s="49" customFormat="1" ht="54" x14ac:dyDescent="0.2">
      <c r="A99" s="18"/>
      <c r="B99" s="41" t="s">
        <v>187</v>
      </c>
      <c r="C99" s="169">
        <v>2293.5</v>
      </c>
      <c r="D99" s="42">
        <v>2347</v>
      </c>
      <c r="E99" s="42">
        <v>994.3</v>
      </c>
      <c r="F99" s="222">
        <f>773.2+108.9</f>
        <v>882.1</v>
      </c>
      <c r="G99" s="211">
        <v>994.3</v>
      </c>
      <c r="H99" s="118">
        <f>G99/$G$160</f>
        <v>4.0000000000000001E-3</v>
      </c>
      <c r="I99" s="154">
        <f>IF(E99=0,"0,0%",G99/E99)</f>
        <v>1</v>
      </c>
      <c r="J99" s="119">
        <f>G99-D99</f>
        <v>-1352.7</v>
      </c>
      <c r="K99" s="118">
        <f>G99/D99</f>
        <v>0.42399999999999999</v>
      </c>
      <c r="L99" s="124">
        <f>G99-F99</f>
        <v>112.2</v>
      </c>
    </row>
    <row r="100" spans="1:12" s="49" customFormat="1" ht="54" x14ac:dyDescent="0.2">
      <c r="A100" s="18"/>
      <c r="B100" s="41" t="s">
        <v>186</v>
      </c>
      <c r="C100" s="169">
        <v>950</v>
      </c>
      <c r="D100" s="42">
        <v>950</v>
      </c>
      <c r="E100" s="42">
        <v>82</v>
      </c>
      <c r="F100" s="222">
        <v>0</v>
      </c>
      <c r="G100" s="211">
        <v>82</v>
      </c>
      <c r="H100" s="118">
        <f>G100/$G$160</f>
        <v>0</v>
      </c>
      <c r="I100" s="154">
        <f>IF(E100=0,"0,0%",G100/E100)</f>
        <v>1</v>
      </c>
      <c r="J100" s="119">
        <f>G100-D100</f>
        <v>-868</v>
      </c>
      <c r="K100" s="118">
        <f>G100/D100</f>
        <v>8.5999999999999993E-2</v>
      </c>
      <c r="L100" s="124">
        <f>G100-F100</f>
        <v>82</v>
      </c>
    </row>
    <row r="101" spans="1:12" s="1" customFormat="1" x14ac:dyDescent="0.2">
      <c r="A101" s="146"/>
      <c r="B101" s="176" t="s">
        <v>156</v>
      </c>
      <c r="C101" s="137"/>
      <c r="D101" s="137"/>
      <c r="E101" s="137"/>
      <c r="F101" s="137"/>
      <c r="G101" s="209"/>
      <c r="H101" s="109"/>
      <c r="I101" s="109"/>
      <c r="J101" s="110"/>
      <c r="K101" s="109"/>
      <c r="L101" s="108"/>
    </row>
    <row r="102" spans="1:12" s="1" customFormat="1" x14ac:dyDescent="0.2">
      <c r="A102" s="146"/>
      <c r="B102" s="145" t="s">
        <v>188</v>
      </c>
      <c r="C102" s="137">
        <v>204925.1</v>
      </c>
      <c r="D102" s="137">
        <v>159550.5</v>
      </c>
      <c r="E102" s="137">
        <v>120679.6</v>
      </c>
      <c r="F102" s="137">
        <v>5021.8999999999996</v>
      </c>
      <c r="G102" s="209">
        <v>120679.6</v>
      </c>
      <c r="H102" s="109">
        <f>G102/$G$160</f>
        <v>0.442</v>
      </c>
      <c r="I102" s="154">
        <f>IF(E102=0,"0,0%",G102/E102)</f>
        <v>1</v>
      </c>
      <c r="J102" s="110">
        <f t="shared" si="43"/>
        <v>-38870.9</v>
      </c>
      <c r="K102" s="109">
        <f t="shared" si="44"/>
        <v>0.75600000000000001</v>
      </c>
      <c r="L102" s="108">
        <f t="shared" si="45"/>
        <v>115657.7</v>
      </c>
    </row>
    <row r="103" spans="1:12" s="28" customFormat="1" x14ac:dyDescent="0.2">
      <c r="A103" s="95" t="s">
        <v>22</v>
      </c>
      <c r="B103" s="102" t="s">
        <v>8</v>
      </c>
      <c r="C103" s="100">
        <f>C104+C113+C119+C110</f>
        <v>215753.7</v>
      </c>
      <c r="D103" s="100">
        <f t="shared" ref="D103:G103" si="59">D104+D113+D119+D110</f>
        <v>242070</v>
      </c>
      <c r="E103" s="100">
        <f t="shared" si="59"/>
        <v>69005.2</v>
      </c>
      <c r="F103" s="226">
        <f t="shared" si="59"/>
        <v>56451.199999999997</v>
      </c>
      <c r="G103" s="216">
        <f t="shared" si="59"/>
        <v>64164.3</v>
      </c>
      <c r="H103" s="98">
        <f>G103/$G$160</f>
        <v>0.23499999999999999</v>
      </c>
      <c r="I103" s="154">
        <f>IF(E103=0,"0,0%",G103/E103)</f>
        <v>0.93</v>
      </c>
      <c r="J103" s="99">
        <f t="shared" si="43"/>
        <v>-177905.7</v>
      </c>
      <c r="K103" s="98">
        <f t="shared" si="44"/>
        <v>0.26500000000000001</v>
      </c>
      <c r="L103" s="100">
        <f t="shared" si="45"/>
        <v>7713.1</v>
      </c>
    </row>
    <row r="104" spans="1:12" x14ac:dyDescent="0.2">
      <c r="A104" s="18" t="s">
        <v>64</v>
      </c>
      <c r="B104" s="40" t="s">
        <v>81</v>
      </c>
      <c r="C104" s="169">
        <v>108620.8</v>
      </c>
      <c r="D104" s="42">
        <v>132927.4</v>
      </c>
      <c r="E104" s="42">
        <v>13761.8</v>
      </c>
      <c r="F104" s="42">
        <f>2935.9+0.1</f>
        <v>2936</v>
      </c>
      <c r="G104" s="211">
        <v>13394.2</v>
      </c>
      <c r="H104" s="109">
        <f>G104/$G$160</f>
        <v>4.9000000000000002E-2</v>
      </c>
      <c r="I104" s="154">
        <f>IF(E104=0,"0,0%",G104/E104)</f>
        <v>0.97299999999999998</v>
      </c>
      <c r="J104" s="110">
        <f t="shared" si="43"/>
        <v>-119533.2</v>
      </c>
      <c r="K104" s="109">
        <f>G104/D104</f>
        <v>0.10100000000000001</v>
      </c>
      <c r="L104" s="108">
        <f t="shared" si="45"/>
        <v>10458.200000000001</v>
      </c>
    </row>
    <row r="105" spans="1:12" x14ac:dyDescent="0.2">
      <c r="A105" s="18"/>
      <c r="B105" s="40" t="s">
        <v>27</v>
      </c>
      <c r="C105" s="171"/>
      <c r="D105" s="6"/>
      <c r="E105" s="6"/>
      <c r="F105" s="6"/>
      <c r="G105" s="208"/>
      <c r="H105" s="109"/>
      <c r="I105" s="109"/>
      <c r="J105" s="110"/>
      <c r="K105" s="109"/>
      <c r="L105" s="108"/>
    </row>
    <row r="106" spans="1:12" ht="40.5" x14ac:dyDescent="0.2">
      <c r="A106" s="18"/>
      <c r="B106" s="41" t="s">
        <v>83</v>
      </c>
      <c r="C106" s="169">
        <v>1950.5</v>
      </c>
      <c r="D106" s="42">
        <v>1950.5</v>
      </c>
      <c r="E106" s="42">
        <v>599.20000000000005</v>
      </c>
      <c r="F106" s="42">
        <v>883</v>
      </c>
      <c r="G106" s="211">
        <v>599.20000000000005</v>
      </c>
      <c r="H106" s="109">
        <f>G106/$G$160</f>
        <v>2E-3</v>
      </c>
      <c r="I106" s="154">
        <f>IF(E106=0,"0,0%",G106/E106)</f>
        <v>1</v>
      </c>
      <c r="J106" s="110">
        <f t="shared" si="43"/>
        <v>-1351.3</v>
      </c>
      <c r="K106" s="109">
        <f t="shared" si="44"/>
        <v>0.307</v>
      </c>
      <c r="L106" s="108">
        <f t="shared" si="45"/>
        <v>-283.8</v>
      </c>
    </row>
    <row r="107" spans="1:12" ht="40.5" x14ac:dyDescent="0.2">
      <c r="A107" s="18" t="s">
        <v>224</v>
      </c>
      <c r="B107" s="41" t="s">
        <v>220</v>
      </c>
      <c r="C107" s="169">
        <v>5000</v>
      </c>
      <c r="D107" s="42">
        <v>7955.5</v>
      </c>
      <c r="E107" s="42">
        <v>0</v>
      </c>
      <c r="F107" s="42">
        <v>0</v>
      </c>
      <c r="G107" s="211">
        <v>0</v>
      </c>
      <c r="H107" s="109">
        <f>G107/$G$160</f>
        <v>0</v>
      </c>
      <c r="I107" s="154" t="str">
        <f>IF(E107=0,"0,0%",G107/E107)</f>
        <v>0,0%</v>
      </c>
      <c r="J107" s="110">
        <f t="shared" ref="J107" si="60">G107-D107</f>
        <v>-7955.5</v>
      </c>
      <c r="K107" s="109">
        <f t="shared" ref="K107" si="61">G107/D107</f>
        <v>0</v>
      </c>
      <c r="L107" s="108">
        <f t="shared" ref="L107" si="62">G107-F107</f>
        <v>0</v>
      </c>
    </row>
    <row r="108" spans="1:12" ht="27" x14ac:dyDescent="0.2">
      <c r="A108" s="18"/>
      <c r="B108" s="41" t="s">
        <v>189</v>
      </c>
      <c r="C108" s="169">
        <v>100000</v>
      </c>
      <c r="D108" s="42">
        <v>100000</v>
      </c>
      <c r="E108" s="42">
        <v>0</v>
      </c>
      <c r="F108" s="42">
        <v>0</v>
      </c>
      <c r="G108" s="211">
        <v>0</v>
      </c>
      <c r="H108" s="109">
        <f>G108/$G$160</f>
        <v>0</v>
      </c>
      <c r="I108" s="154" t="str">
        <f>IF(E108=0,"0,0%",G108/E108)</f>
        <v>0,0%</v>
      </c>
      <c r="J108" s="110">
        <f t="shared" ref="J108" si="63">G108-D108</f>
        <v>-100000</v>
      </c>
      <c r="K108" s="109">
        <f t="shared" ref="K108" si="64">G108/D108</f>
        <v>0</v>
      </c>
      <c r="L108" s="108">
        <f t="shared" ref="L108" si="65">G108-F108</f>
        <v>0</v>
      </c>
    </row>
    <row r="109" spans="1:12" ht="27" x14ac:dyDescent="0.2">
      <c r="A109" s="18" t="s">
        <v>225</v>
      </c>
      <c r="B109" s="41" t="s">
        <v>221</v>
      </c>
      <c r="C109" s="169">
        <v>1670.3</v>
      </c>
      <c r="D109" s="42">
        <v>2330.1</v>
      </c>
      <c r="E109" s="42">
        <v>367.5</v>
      </c>
      <c r="F109" s="42">
        <v>0</v>
      </c>
      <c r="G109" s="211">
        <v>0</v>
      </c>
      <c r="H109" s="109">
        <f>G109/$G$160</f>
        <v>0</v>
      </c>
      <c r="I109" s="154">
        <f>IF(E109=0,"0,0%",G109/E109)</f>
        <v>0</v>
      </c>
      <c r="J109" s="110">
        <f t="shared" ref="J109:J110" si="66">G109-D109</f>
        <v>-2330.1</v>
      </c>
      <c r="K109" s="109">
        <f t="shared" ref="K109:K110" si="67">G109/D109</f>
        <v>0</v>
      </c>
      <c r="L109" s="108">
        <f t="shared" ref="L109:L110" si="68">G109-F109</f>
        <v>0</v>
      </c>
    </row>
    <row r="110" spans="1:12" x14ac:dyDescent="0.2">
      <c r="A110" s="18" t="s">
        <v>190</v>
      </c>
      <c r="B110" s="11" t="s">
        <v>191</v>
      </c>
      <c r="C110" s="130">
        <v>0</v>
      </c>
      <c r="D110" s="32">
        <v>69.7</v>
      </c>
      <c r="E110" s="32">
        <v>0</v>
      </c>
      <c r="F110" s="32">
        <v>0</v>
      </c>
      <c r="G110" s="212">
        <v>0</v>
      </c>
      <c r="H110" s="109">
        <f>G110/$G$160</f>
        <v>0</v>
      </c>
      <c r="I110" s="154" t="str">
        <f>IF(E110=0,"0,0%",G110/E110)</f>
        <v>0,0%</v>
      </c>
      <c r="J110" s="110">
        <f t="shared" si="66"/>
        <v>-69.7</v>
      </c>
      <c r="K110" s="109">
        <f t="shared" si="67"/>
        <v>0</v>
      </c>
      <c r="L110" s="108">
        <f t="shared" si="68"/>
        <v>0</v>
      </c>
    </row>
    <row r="111" spans="1:12" hidden="1" x14ac:dyDescent="0.2">
      <c r="A111" s="18"/>
      <c r="B111" s="11" t="s">
        <v>27</v>
      </c>
      <c r="C111" s="172"/>
      <c r="D111" s="32"/>
      <c r="E111" s="8"/>
      <c r="F111" s="8"/>
      <c r="G111" s="209"/>
      <c r="H111" s="109"/>
      <c r="I111" s="109"/>
      <c r="J111" s="110"/>
      <c r="K111" s="109"/>
      <c r="L111" s="108"/>
    </row>
    <row r="112" spans="1:12" hidden="1" x14ac:dyDescent="0.2">
      <c r="A112" s="18"/>
      <c r="B112" s="10" t="s">
        <v>111</v>
      </c>
      <c r="C112" s="130"/>
      <c r="D112" s="32"/>
      <c r="E112" s="8"/>
      <c r="F112" s="8">
        <v>11256.6</v>
      </c>
      <c r="G112" s="209"/>
      <c r="H112" s="109">
        <f>G112/$G$160</f>
        <v>0</v>
      </c>
      <c r="I112" s="154" t="str">
        <f>IF(E112=0,"0,0%",G112/E112)</f>
        <v>0,0%</v>
      </c>
      <c r="J112" s="110">
        <f t="shared" ref="J112" si="69">G112-D112</f>
        <v>0</v>
      </c>
      <c r="K112" s="109" t="e">
        <f t="shared" ref="K112" si="70">G112/D112</f>
        <v>#DIV/0!</v>
      </c>
      <c r="L112" s="108">
        <f t="shared" ref="L112" si="71">G112-F112</f>
        <v>-11256.6</v>
      </c>
    </row>
    <row r="113" spans="1:12" x14ac:dyDescent="0.2">
      <c r="A113" s="18" t="s">
        <v>48</v>
      </c>
      <c r="B113" s="11" t="s">
        <v>49</v>
      </c>
      <c r="C113" s="130">
        <v>107132.9</v>
      </c>
      <c r="D113" s="32">
        <v>107303.7</v>
      </c>
      <c r="E113" s="32">
        <v>53986.2</v>
      </c>
      <c r="F113" s="32">
        <f>39338.6+5299.6</f>
        <v>44638.2</v>
      </c>
      <c r="G113" s="212">
        <v>49600.7</v>
      </c>
      <c r="H113" s="109">
        <f>G113/$G$160</f>
        <v>0.182</v>
      </c>
      <c r="I113" s="154">
        <f>IF(E113=0,"0,0%",G113/E113)</f>
        <v>0.91900000000000004</v>
      </c>
      <c r="J113" s="110">
        <f t="shared" si="43"/>
        <v>-57703</v>
      </c>
      <c r="K113" s="109">
        <f t="shared" si="44"/>
        <v>0.46200000000000002</v>
      </c>
      <c r="L113" s="108">
        <f t="shared" si="45"/>
        <v>4962.5</v>
      </c>
    </row>
    <row r="114" spans="1:12" x14ac:dyDescent="0.2">
      <c r="A114" s="18"/>
      <c r="B114" s="11" t="s">
        <v>27</v>
      </c>
      <c r="C114" s="172"/>
      <c r="D114" s="32"/>
      <c r="E114" s="8"/>
      <c r="F114" s="8"/>
      <c r="G114" s="209"/>
      <c r="H114" s="109"/>
      <c r="I114" s="109"/>
      <c r="J114" s="110"/>
      <c r="K114" s="109"/>
      <c r="L114" s="108"/>
    </row>
    <row r="115" spans="1:12" x14ac:dyDescent="0.2">
      <c r="A115" s="18"/>
      <c r="B115" s="10" t="s">
        <v>111</v>
      </c>
      <c r="C115" s="130">
        <v>60324.2</v>
      </c>
      <c r="D115" s="32">
        <f>60324.2+170.8</f>
        <v>60495</v>
      </c>
      <c r="E115" s="8">
        <v>30607</v>
      </c>
      <c r="F115" s="8">
        <f>17345.5+6894.8+1562.3+275+2008.9</f>
        <v>28086.5</v>
      </c>
      <c r="G115" s="209">
        <v>29385.200000000001</v>
      </c>
      <c r="H115" s="109">
        <f t="shared" ref="H115:H121" si="72">G115/$G$160</f>
        <v>0.108</v>
      </c>
      <c r="I115" s="154">
        <f t="shared" ref="I115:I121" si="73">IF(E115=0,"0,0%",G115/E115)</f>
        <v>0.96</v>
      </c>
      <c r="J115" s="110">
        <f t="shared" si="43"/>
        <v>-31109.8</v>
      </c>
      <c r="K115" s="109">
        <f t="shared" si="44"/>
        <v>0.48599999999999999</v>
      </c>
      <c r="L115" s="108">
        <f t="shared" si="45"/>
        <v>1298.7</v>
      </c>
    </row>
    <row r="116" spans="1:12" x14ac:dyDescent="0.2">
      <c r="A116" s="18"/>
      <c r="B116" s="10" t="s">
        <v>112</v>
      </c>
      <c r="C116" s="130">
        <v>29448.1</v>
      </c>
      <c r="D116" s="32">
        <v>29448.1</v>
      </c>
      <c r="E116" s="8">
        <v>12368.1</v>
      </c>
      <c r="F116" s="8">
        <f>5451.3+2594.6+1375.4</f>
        <v>9421.2999999999993</v>
      </c>
      <c r="G116" s="209">
        <v>11653.7</v>
      </c>
      <c r="H116" s="109">
        <f t="shared" si="72"/>
        <v>4.2999999999999997E-2</v>
      </c>
      <c r="I116" s="154">
        <f t="shared" si="73"/>
        <v>0.94199999999999995</v>
      </c>
      <c r="J116" s="110">
        <f t="shared" si="43"/>
        <v>-17794.400000000001</v>
      </c>
      <c r="K116" s="109">
        <f t="shared" si="44"/>
        <v>0.39600000000000002</v>
      </c>
      <c r="L116" s="108">
        <f t="shared" si="45"/>
        <v>2232.4</v>
      </c>
    </row>
    <row r="117" spans="1:12" x14ac:dyDescent="0.2">
      <c r="A117" s="18"/>
      <c r="B117" s="10" t="s">
        <v>113</v>
      </c>
      <c r="C117" s="130">
        <v>9860.4</v>
      </c>
      <c r="D117" s="32">
        <f>2641.2+7219.2</f>
        <v>9860.4</v>
      </c>
      <c r="E117" s="8">
        <v>4271</v>
      </c>
      <c r="F117" s="8">
        <f>2300+400+100+72</f>
        <v>2872</v>
      </c>
      <c r="G117" s="209">
        <v>3268.9</v>
      </c>
      <c r="H117" s="109">
        <f t="shared" si="72"/>
        <v>1.2E-2</v>
      </c>
      <c r="I117" s="154">
        <f t="shared" si="73"/>
        <v>0.76500000000000001</v>
      </c>
      <c r="J117" s="110">
        <f t="shared" si="43"/>
        <v>-6591.5</v>
      </c>
      <c r="K117" s="109">
        <f t="shared" si="44"/>
        <v>0.33200000000000002</v>
      </c>
      <c r="L117" s="108">
        <f t="shared" si="45"/>
        <v>396.9</v>
      </c>
    </row>
    <row r="118" spans="1:12" ht="27" x14ac:dyDescent="0.2">
      <c r="A118" s="18"/>
      <c r="B118" s="10" t="s">
        <v>114</v>
      </c>
      <c r="C118" s="130">
        <v>7500.2</v>
      </c>
      <c r="D118" s="32">
        <v>7500.2</v>
      </c>
      <c r="E118" s="8">
        <v>6740.1</v>
      </c>
      <c r="F118" s="8">
        <v>4055</v>
      </c>
      <c r="G118" s="209">
        <v>5292.8</v>
      </c>
      <c r="H118" s="109">
        <f t="shared" si="72"/>
        <v>1.9E-2</v>
      </c>
      <c r="I118" s="154">
        <f t="shared" si="73"/>
        <v>0.78500000000000003</v>
      </c>
      <c r="J118" s="110">
        <f t="shared" si="43"/>
        <v>-2207.4</v>
      </c>
      <c r="K118" s="109">
        <f t="shared" si="44"/>
        <v>0.70599999999999996</v>
      </c>
      <c r="L118" s="108">
        <f t="shared" si="45"/>
        <v>1237.8</v>
      </c>
    </row>
    <row r="119" spans="1:12" s="1" customFormat="1" ht="27" x14ac:dyDescent="0.2">
      <c r="A119" s="18" t="s">
        <v>65</v>
      </c>
      <c r="B119" s="10" t="s">
        <v>66</v>
      </c>
      <c r="C119" s="130">
        <v>0</v>
      </c>
      <c r="D119" s="32">
        <f>D120+D121</f>
        <v>1769.2</v>
      </c>
      <c r="E119" s="8">
        <v>1257.2</v>
      </c>
      <c r="F119" s="8">
        <f>8733.6+143.4</f>
        <v>8877</v>
      </c>
      <c r="G119" s="209">
        <v>1169.4000000000001</v>
      </c>
      <c r="H119" s="109">
        <f t="shared" si="72"/>
        <v>4.0000000000000001E-3</v>
      </c>
      <c r="I119" s="154">
        <f t="shared" si="73"/>
        <v>0.93</v>
      </c>
      <c r="J119" s="110">
        <f t="shared" si="43"/>
        <v>-599.79999999999995</v>
      </c>
      <c r="K119" s="109">
        <f t="shared" si="44"/>
        <v>0.66100000000000003</v>
      </c>
      <c r="L119" s="108">
        <f t="shared" si="45"/>
        <v>-7707.6</v>
      </c>
    </row>
    <row r="120" spans="1:12" s="1" customFormat="1" x14ac:dyDescent="0.2">
      <c r="A120" s="18"/>
      <c r="B120" s="10" t="s">
        <v>222</v>
      </c>
      <c r="C120" s="130">
        <v>0</v>
      </c>
      <c r="D120" s="32">
        <v>798.8</v>
      </c>
      <c r="E120" s="8">
        <v>798.8</v>
      </c>
      <c r="F120" s="8">
        <v>0</v>
      </c>
      <c r="G120" s="209">
        <v>798.8</v>
      </c>
      <c r="H120" s="109">
        <f t="shared" ref="H120" si="74">G120/$G$160</f>
        <v>3.0000000000000001E-3</v>
      </c>
      <c r="I120" s="154">
        <f t="shared" ref="I120" si="75">IF(E120=0,"0,0%",G120/E120)</f>
        <v>1</v>
      </c>
      <c r="J120" s="110">
        <f t="shared" si="43"/>
        <v>0</v>
      </c>
      <c r="K120" s="109">
        <f t="shared" si="44"/>
        <v>1</v>
      </c>
      <c r="L120" s="108">
        <f t="shared" si="45"/>
        <v>798.8</v>
      </c>
    </row>
    <row r="121" spans="1:12" s="1" customFormat="1" x14ac:dyDescent="0.2">
      <c r="A121" s="18"/>
      <c r="B121" s="10" t="s">
        <v>223</v>
      </c>
      <c r="C121" s="130">
        <v>0</v>
      </c>
      <c r="D121" s="32">
        <v>970.4</v>
      </c>
      <c r="E121" s="8">
        <v>458.4</v>
      </c>
      <c r="F121" s="8">
        <f>1906.2+143.4</f>
        <v>2049.6</v>
      </c>
      <c r="G121" s="209">
        <v>370.6</v>
      </c>
      <c r="H121" s="109">
        <f t="shared" si="72"/>
        <v>1E-3</v>
      </c>
      <c r="I121" s="154">
        <f t="shared" si="73"/>
        <v>0.80800000000000005</v>
      </c>
      <c r="J121" s="110">
        <f t="shared" ref="J121" si="76">G121-D121</f>
        <v>-599.79999999999995</v>
      </c>
      <c r="K121" s="109">
        <f t="shared" ref="K121" si="77">G121/D121</f>
        <v>0.38200000000000001</v>
      </c>
      <c r="L121" s="108">
        <f t="shared" ref="L121" si="78">G121-F121</f>
        <v>-1679</v>
      </c>
    </row>
    <row r="122" spans="1:12" x14ac:dyDescent="0.2">
      <c r="A122" s="135"/>
      <c r="B122" s="136" t="s">
        <v>157</v>
      </c>
      <c r="C122" s="136"/>
      <c r="D122" s="137"/>
      <c r="E122" s="137"/>
      <c r="F122" s="137"/>
      <c r="G122" s="209"/>
      <c r="H122" s="109"/>
      <c r="I122" s="109"/>
      <c r="J122" s="110"/>
      <c r="K122" s="109"/>
      <c r="L122" s="108"/>
    </row>
    <row r="123" spans="1:12" ht="27" x14ac:dyDescent="0.2">
      <c r="A123" s="127"/>
      <c r="B123" s="128" t="s">
        <v>117</v>
      </c>
      <c r="C123" s="129">
        <v>0</v>
      </c>
      <c r="D123" s="129">
        <v>702.2</v>
      </c>
      <c r="E123" s="129">
        <v>702.2</v>
      </c>
      <c r="F123" s="137">
        <v>6651</v>
      </c>
      <c r="G123" s="209">
        <v>702.2</v>
      </c>
      <c r="H123" s="109">
        <f t="shared" ref="H123:H129" si="79">G123/$G$160</f>
        <v>3.0000000000000001E-3</v>
      </c>
      <c r="I123" s="154">
        <f t="shared" ref="I123:I129" si="80">IF(E123=0,"0,0%",G123/E123)</f>
        <v>1</v>
      </c>
      <c r="J123" s="110">
        <f>G123-D123</f>
        <v>0</v>
      </c>
      <c r="K123" s="109">
        <v>0</v>
      </c>
      <c r="L123" s="108">
        <f>G123-F123</f>
        <v>-5948.8</v>
      </c>
    </row>
    <row r="124" spans="1:12" s="180" customFormat="1" hidden="1" x14ac:dyDescent="0.2">
      <c r="A124" s="182"/>
      <c r="B124" s="183" t="s">
        <v>173</v>
      </c>
      <c r="C124" s="184"/>
      <c r="D124" s="184"/>
      <c r="E124" s="184"/>
      <c r="F124" s="137">
        <v>0</v>
      </c>
      <c r="G124" s="217">
        <v>0</v>
      </c>
      <c r="H124" s="177">
        <f>G124/$G$160</f>
        <v>0</v>
      </c>
      <c r="I124" s="181" t="str">
        <f>IF(E124=0,"0,0%",G124/E124)</f>
        <v>0,0%</v>
      </c>
      <c r="J124" s="178">
        <f>G124-D124</f>
        <v>0</v>
      </c>
      <c r="K124" s="177" t="e">
        <f>G124/D124</f>
        <v>#DIV/0!</v>
      </c>
      <c r="L124" s="179">
        <f>G124-F124</f>
        <v>0</v>
      </c>
    </row>
    <row r="125" spans="1:12" x14ac:dyDescent="0.2">
      <c r="A125" s="127"/>
      <c r="B125" s="145" t="s">
        <v>188</v>
      </c>
      <c r="C125" s="130">
        <v>211162</v>
      </c>
      <c r="D125" s="130">
        <v>215429.4</v>
      </c>
      <c r="E125" s="130">
        <v>52944</v>
      </c>
      <c r="F125" s="137">
        <f>1960.5+0.1</f>
        <v>1960.6</v>
      </c>
      <c r="G125" s="212">
        <v>48191</v>
      </c>
      <c r="H125" s="109">
        <f t="shared" si="79"/>
        <v>0.17699999999999999</v>
      </c>
      <c r="I125" s="154">
        <f t="shared" si="80"/>
        <v>0.91</v>
      </c>
      <c r="J125" s="110">
        <f>G125-D125</f>
        <v>-167238.39999999999</v>
      </c>
      <c r="K125" s="109">
        <f>G125/D125</f>
        <v>0.224</v>
      </c>
      <c r="L125" s="108">
        <f>G125-F125</f>
        <v>46230.400000000001</v>
      </c>
    </row>
    <row r="126" spans="1:12" s="28" customFormat="1" x14ac:dyDescent="0.2">
      <c r="A126" s="95" t="s">
        <v>130</v>
      </c>
      <c r="B126" s="103" t="s">
        <v>129</v>
      </c>
      <c r="C126" s="97">
        <f>C127</f>
        <v>20423.900000000001</v>
      </c>
      <c r="D126" s="97">
        <f>D127</f>
        <v>14650.2</v>
      </c>
      <c r="E126" s="97">
        <f>E127</f>
        <v>7664.4</v>
      </c>
      <c r="F126" s="224">
        <f>F127</f>
        <v>8165.3</v>
      </c>
      <c r="G126" s="210">
        <f>G127</f>
        <v>6751.3</v>
      </c>
      <c r="H126" s="98">
        <f t="shared" si="79"/>
        <v>2.5000000000000001E-2</v>
      </c>
      <c r="I126" s="154">
        <f t="shared" si="80"/>
        <v>0.88100000000000001</v>
      </c>
      <c r="J126" s="99">
        <f t="shared" si="43"/>
        <v>-7898.9</v>
      </c>
      <c r="K126" s="98">
        <f t="shared" si="44"/>
        <v>0.46100000000000002</v>
      </c>
      <c r="L126" s="100">
        <f t="shared" si="45"/>
        <v>-1414</v>
      </c>
    </row>
    <row r="127" spans="1:12" s="49" customFormat="1" x14ac:dyDescent="0.2">
      <c r="A127" s="132" t="s">
        <v>51</v>
      </c>
      <c r="B127" s="133" t="s">
        <v>60</v>
      </c>
      <c r="C127" s="124">
        <f>C128+C129+214.3</f>
        <v>20423.900000000001</v>
      </c>
      <c r="D127" s="124">
        <f>D128+D129</f>
        <v>14650.2</v>
      </c>
      <c r="E127" s="124">
        <f>E128+E129</f>
        <v>7664.4</v>
      </c>
      <c r="F127" s="227">
        <f>F128+F129</f>
        <v>8165.3</v>
      </c>
      <c r="G127" s="211">
        <v>6751.3</v>
      </c>
      <c r="H127" s="109">
        <f t="shared" si="79"/>
        <v>2.5000000000000001E-2</v>
      </c>
      <c r="I127" s="154">
        <f t="shared" si="80"/>
        <v>0.88100000000000001</v>
      </c>
      <c r="J127" s="110">
        <f t="shared" si="43"/>
        <v>-7898.9</v>
      </c>
      <c r="K127" s="109">
        <f t="shared" si="44"/>
        <v>0.46100000000000002</v>
      </c>
      <c r="L127" s="108">
        <f t="shared" si="45"/>
        <v>-1414</v>
      </c>
    </row>
    <row r="128" spans="1:12" ht="54" x14ac:dyDescent="0.2">
      <c r="A128" s="19"/>
      <c r="B128" s="10" t="s">
        <v>115</v>
      </c>
      <c r="C128" s="129">
        <v>15912.8</v>
      </c>
      <c r="D128" s="8">
        <v>11833.1</v>
      </c>
      <c r="E128" s="8">
        <v>6101.2</v>
      </c>
      <c r="F128" s="8">
        <f>4170.1+2159.1</f>
        <v>6329.2</v>
      </c>
      <c r="G128" s="209">
        <v>5905.2</v>
      </c>
      <c r="H128" s="109">
        <f t="shared" si="79"/>
        <v>2.1999999999999999E-2</v>
      </c>
      <c r="I128" s="154">
        <f t="shared" si="80"/>
        <v>0.96799999999999997</v>
      </c>
      <c r="J128" s="110">
        <f t="shared" si="43"/>
        <v>-5927.9</v>
      </c>
      <c r="K128" s="109">
        <f t="shared" si="44"/>
        <v>0.499</v>
      </c>
      <c r="L128" s="108">
        <f t="shared" si="45"/>
        <v>-424</v>
      </c>
    </row>
    <row r="129" spans="1:12" ht="27" x14ac:dyDescent="0.2">
      <c r="A129" s="19"/>
      <c r="B129" s="10" t="s">
        <v>116</v>
      </c>
      <c r="C129" s="129">
        <v>4296.8</v>
      </c>
      <c r="D129" s="8">
        <v>2817.1</v>
      </c>
      <c r="E129" s="8">
        <v>1563.2</v>
      </c>
      <c r="F129" s="8">
        <f>1829.7+6.4</f>
        <v>1836.1</v>
      </c>
      <c r="G129" s="209">
        <v>846.1</v>
      </c>
      <c r="H129" s="109">
        <f t="shared" si="79"/>
        <v>3.0000000000000001E-3</v>
      </c>
      <c r="I129" s="154">
        <f t="shared" si="80"/>
        <v>0.54100000000000004</v>
      </c>
      <c r="J129" s="110">
        <f t="shared" si="43"/>
        <v>-1971</v>
      </c>
      <c r="K129" s="109">
        <f t="shared" si="44"/>
        <v>0.3</v>
      </c>
      <c r="L129" s="108">
        <f t="shared" si="45"/>
        <v>-990</v>
      </c>
    </row>
    <row r="130" spans="1:12" x14ac:dyDescent="0.2">
      <c r="A130" s="135"/>
      <c r="B130" s="136" t="s">
        <v>158</v>
      </c>
      <c r="C130" s="136"/>
      <c r="D130" s="137"/>
      <c r="E130" s="137"/>
      <c r="F130" s="137"/>
      <c r="G130" s="209"/>
      <c r="H130" s="109"/>
      <c r="I130" s="109"/>
      <c r="J130" s="110"/>
      <c r="K130" s="109"/>
      <c r="L130" s="108"/>
    </row>
    <row r="131" spans="1:12" ht="27" x14ac:dyDescent="0.2">
      <c r="A131" s="127"/>
      <c r="B131" s="128" t="s">
        <v>117</v>
      </c>
      <c r="C131" s="129">
        <v>12808.1</v>
      </c>
      <c r="D131" s="129">
        <v>9625.1</v>
      </c>
      <c r="E131" s="129">
        <v>5451.7</v>
      </c>
      <c r="F131" s="137">
        <f>3634.7+2093.8</f>
        <v>5728.5</v>
      </c>
      <c r="G131" s="209">
        <v>5451.7</v>
      </c>
      <c r="H131" s="109">
        <f t="shared" ref="H131:H137" si="81">G131/$G$160</f>
        <v>0.02</v>
      </c>
      <c r="I131" s="154">
        <f t="shared" ref="I131:I137" si="82">IF(E131=0,"0,0%",G131/E131)</f>
        <v>1</v>
      </c>
      <c r="J131" s="110">
        <f>G131-D131</f>
        <v>-4173.3999999999996</v>
      </c>
      <c r="K131" s="109">
        <f>G131/D131</f>
        <v>0.56599999999999995</v>
      </c>
      <c r="L131" s="108">
        <f>G131-F131</f>
        <v>-276.8</v>
      </c>
    </row>
    <row r="132" spans="1:12" x14ac:dyDescent="0.2">
      <c r="A132" s="127"/>
      <c r="B132" s="128" t="s">
        <v>121</v>
      </c>
      <c r="C132" s="129">
        <v>1531.5</v>
      </c>
      <c r="D132" s="129">
        <v>1208.5</v>
      </c>
      <c r="E132" s="129">
        <v>407.9</v>
      </c>
      <c r="F132" s="137">
        <f>376.8+30.4</f>
        <v>407.2</v>
      </c>
      <c r="G132" s="209">
        <v>406.8</v>
      </c>
      <c r="H132" s="109">
        <f t="shared" si="81"/>
        <v>1E-3</v>
      </c>
      <c r="I132" s="154">
        <f t="shared" si="82"/>
        <v>0.997</v>
      </c>
      <c r="J132" s="110">
        <f>G132-D132</f>
        <v>-801.7</v>
      </c>
      <c r="K132" s="109">
        <f>G132/D132</f>
        <v>0.33700000000000002</v>
      </c>
      <c r="L132" s="108">
        <f>G132-F132</f>
        <v>-0.4</v>
      </c>
    </row>
    <row r="133" spans="1:12" x14ac:dyDescent="0.2">
      <c r="A133" s="127"/>
      <c r="B133" s="145" t="s">
        <v>188</v>
      </c>
      <c r="C133" s="130">
        <v>3896.8</v>
      </c>
      <c r="D133" s="130">
        <v>2376.5</v>
      </c>
      <c r="E133" s="130">
        <v>1122.5999999999999</v>
      </c>
      <c r="F133" s="142">
        <v>1796</v>
      </c>
      <c r="G133" s="212">
        <v>423.6</v>
      </c>
      <c r="H133" s="109">
        <f t="shared" si="81"/>
        <v>2E-3</v>
      </c>
      <c r="I133" s="154">
        <f t="shared" si="82"/>
        <v>0.377</v>
      </c>
      <c r="J133" s="110">
        <f>G133-D133</f>
        <v>-1952.9</v>
      </c>
      <c r="K133" s="109">
        <f>G133/D133</f>
        <v>0.17799999999999999</v>
      </c>
      <c r="L133" s="108">
        <f>G133-F133</f>
        <v>-1372.4</v>
      </c>
    </row>
    <row r="134" spans="1:12" s="28" customFormat="1" x14ac:dyDescent="0.2">
      <c r="A134" s="95" t="s">
        <v>69</v>
      </c>
      <c r="B134" s="101" t="s">
        <v>118</v>
      </c>
      <c r="C134" s="97">
        <f>C135+C139</f>
        <v>64580.7</v>
      </c>
      <c r="D134" s="97">
        <f>D135+D139</f>
        <v>64510.400000000001</v>
      </c>
      <c r="E134" s="97">
        <f>E135+E139</f>
        <v>27647.4</v>
      </c>
      <c r="F134" s="224">
        <f>F135+F139</f>
        <v>29473</v>
      </c>
      <c r="G134" s="210">
        <f>G135+G139</f>
        <v>27629.4</v>
      </c>
      <c r="H134" s="98">
        <f t="shared" si="81"/>
        <v>0.10100000000000001</v>
      </c>
      <c r="I134" s="154">
        <f t="shared" si="82"/>
        <v>0.999</v>
      </c>
      <c r="J134" s="99">
        <f t="shared" si="43"/>
        <v>-36881</v>
      </c>
      <c r="K134" s="98">
        <f t="shared" si="44"/>
        <v>0.42799999999999999</v>
      </c>
      <c r="L134" s="100">
        <f t="shared" si="45"/>
        <v>-1843.6</v>
      </c>
    </row>
    <row r="135" spans="1:12" s="49" customFormat="1" x14ac:dyDescent="0.2">
      <c r="A135" s="132" t="s">
        <v>71</v>
      </c>
      <c r="B135" s="133" t="s">
        <v>70</v>
      </c>
      <c r="C135" s="134">
        <f>C136+C137+1127.8</f>
        <v>64035.3</v>
      </c>
      <c r="D135" s="134">
        <f>D136+D137+100</f>
        <v>64392.2</v>
      </c>
      <c r="E135" s="134">
        <f>E136+E137</f>
        <v>27529.200000000001</v>
      </c>
      <c r="F135" s="228">
        <f>F136+F137</f>
        <v>25916.3</v>
      </c>
      <c r="G135" s="213">
        <v>27511.200000000001</v>
      </c>
      <c r="H135" s="109">
        <f t="shared" si="81"/>
        <v>0.10100000000000001</v>
      </c>
      <c r="I135" s="154">
        <f t="shared" si="82"/>
        <v>0.999</v>
      </c>
      <c r="J135" s="110">
        <f t="shared" ref="J135:J157" si="83">G135-D135</f>
        <v>-36881</v>
      </c>
      <c r="K135" s="109">
        <f t="shared" ref="K135:K157" si="84">G135/D135</f>
        <v>0.42699999999999999</v>
      </c>
      <c r="L135" s="108">
        <f t="shared" ref="L135:L157" si="85">G135-F135</f>
        <v>1594.9</v>
      </c>
    </row>
    <row r="136" spans="1:12" ht="54" x14ac:dyDescent="0.2">
      <c r="A136" s="19"/>
      <c r="B136" s="10" t="s">
        <v>115</v>
      </c>
      <c r="C136" s="129">
        <v>57655.5</v>
      </c>
      <c r="D136" s="8">
        <v>58791.3</v>
      </c>
      <c r="E136" s="8">
        <v>27040.400000000001</v>
      </c>
      <c r="F136" s="8">
        <f>13507.5+9812.5</f>
        <v>23320</v>
      </c>
      <c r="G136" s="209">
        <v>27031.1</v>
      </c>
      <c r="H136" s="109">
        <f t="shared" si="81"/>
        <v>9.9000000000000005E-2</v>
      </c>
      <c r="I136" s="154">
        <f t="shared" si="82"/>
        <v>1</v>
      </c>
      <c r="J136" s="110">
        <f t="shared" si="83"/>
        <v>-31760.2</v>
      </c>
      <c r="K136" s="109">
        <f t="shared" si="84"/>
        <v>0.46</v>
      </c>
      <c r="L136" s="108">
        <f t="shared" si="85"/>
        <v>3711.1</v>
      </c>
    </row>
    <row r="137" spans="1:12" ht="27" x14ac:dyDescent="0.2">
      <c r="A137" s="19"/>
      <c r="B137" s="10" t="s">
        <v>116</v>
      </c>
      <c r="C137" s="129">
        <v>5252</v>
      </c>
      <c r="D137" s="8">
        <v>5500.9</v>
      </c>
      <c r="E137" s="8">
        <v>488.8</v>
      </c>
      <c r="F137" s="8">
        <f>2446.3+150</f>
        <v>2596.3000000000002</v>
      </c>
      <c r="G137" s="209">
        <v>480.2</v>
      </c>
      <c r="H137" s="109">
        <f t="shared" si="81"/>
        <v>2E-3</v>
      </c>
      <c r="I137" s="154">
        <f t="shared" si="82"/>
        <v>0.98199999999999998</v>
      </c>
      <c r="J137" s="110">
        <f t="shared" si="83"/>
        <v>-5020.7</v>
      </c>
      <c r="K137" s="109">
        <f t="shared" si="84"/>
        <v>8.6999999999999994E-2</v>
      </c>
      <c r="L137" s="108">
        <f t="shared" si="85"/>
        <v>-2116.1</v>
      </c>
    </row>
    <row r="138" spans="1:12" hidden="1" x14ac:dyDescent="0.2">
      <c r="A138" s="19"/>
      <c r="B138" s="11" t="s">
        <v>119</v>
      </c>
      <c r="C138" s="129"/>
      <c r="D138" s="8"/>
      <c r="E138" s="8"/>
      <c r="F138" s="8"/>
      <c r="G138" s="209"/>
      <c r="H138" s="109"/>
      <c r="I138" s="109"/>
      <c r="J138" s="110"/>
      <c r="K138" s="109"/>
      <c r="L138" s="108"/>
    </row>
    <row r="139" spans="1:12" s="49" customFormat="1" ht="27" x14ac:dyDescent="0.2">
      <c r="A139" s="18" t="s">
        <v>87</v>
      </c>
      <c r="B139" s="21" t="s">
        <v>120</v>
      </c>
      <c r="C139" s="170">
        <v>545.4</v>
      </c>
      <c r="D139" s="23">
        <v>118.2</v>
      </c>
      <c r="E139" s="42">
        <v>118.2</v>
      </c>
      <c r="F139" s="42">
        <v>3556.7</v>
      </c>
      <c r="G139" s="211">
        <v>118.2</v>
      </c>
      <c r="H139" s="109">
        <f>G139/$G$160</f>
        <v>0</v>
      </c>
      <c r="I139" s="154">
        <f>IF(E139=0,"0,0%",G139/E139)</f>
        <v>1</v>
      </c>
      <c r="J139" s="110">
        <f t="shared" si="83"/>
        <v>0</v>
      </c>
      <c r="K139" s="109">
        <f t="shared" si="84"/>
        <v>1</v>
      </c>
      <c r="L139" s="108">
        <f t="shared" si="85"/>
        <v>-3438.5</v>
      </c>
    </row>
    <row r="140" spans="1:12" x14ac:dyDescent="0.2">
      <c r="A140" s="135"/>
      <c r="B140" s="136" t="s">
        <v>159</v>
      </c>
      <c r="C140" s="136"/>
      <c r="D140" s="137"/>
      <c r="E140" s="137"/>
      <c r="F140" s="137"/>
      <c r="G140" s="209"/>
      <c r="H140" s="109"/>
      <c r="I140" s="109"/>
      <c r="J140" s="110"/>
      <c r="K140" s="109"/>
      <c r="L140" s="108"/>
    </row>
    <row r="141" spans="1:12" ht="27" x14ac:dyDescent="0.2">
      <c r="A141" s="135"/>
      <c r="B141" s="128" t="s">
        <v>117</v>
      </c>
      <c r="C141" s="129">
        <v>47202.1</v>
      </c>
      <c r="D141" s="129">
        <v>47202.1</v>
      </c>
      <c r="E141" s="129">
        <v>22250.9</v>
      </c>
      <c r="F141" s="137">
        <f>13881.4+9142.5</f>
        <v>23023.9</v>
      </c>
      <c r="G141" s="209">
        <v>22250.400000000001</v>
      </c>
      <c r="H141" s="109">
        <f t="shared" ref="H141:H150" si="86">G141/$G$160</f>
        <v>8.2000000000000003E-2</v>
      </c>
      <c r="I141" s="154">
        <f t="shared" ref="I141:I150" si="87">IF(E141=0,"0,0%",G141/E141)</f>
        <v>1</v>
      </c>
      <c r="J141" s="110">
        <f>G141-D141</f>
        <v>-24951.7</v>
      </c>
      <c r="K141" s="109">
        <f>G141/D141</f>
        <v>0.47099999999999997</v>
      </c>
      <c r="L141" s="108">
        <f>G141-F141</f>
        <v>-773.5</v>
      </c>
    </row>
    <row r="142" spans="1:12" x14ac:dyDescent="0.2">
      <c r="A142" s="127"/>
      <c r="B142" s="128" t="s">
        <v>121</v>
      </c>
      <c r="C142" s="129">
        <v>7040.9</v>
      </c>
      <c r="D142" s="129">
        <v>7040.9</v>
      </c>
      <c r="E142" s="129">
        <v>3863.2</v>
      </c>
      <c r="F142" s="137">
        <f>2183.7+337.4</f>
        <v>2521.1</v>
      </c>
      <c r="G142" s="209">
        <v>3863.2</v>
      </c>
      <c r="H142" s="109">
        <f t="shared" si="86"/>
        <v>1.4E-2</v>
      </c>
      <c r="I142" s="154">
        <f t="shared" si="87"/>
        <v>1</v>
      </c>
      <c r="J142" s="110">
        <f>G142-D142</f>
        <v>-3177.7</v>
      </c>
      <c r="K142" s="109">
        <f>G142/D142</f>
        <v>0.54900000000000004</v>
      </c>
      <c r="L142" s="108">
        <f>G142-F142</f>
        <v>1342.1</v>
      </c>
    </row>
    <row r="143" spans="1:12" x14ac:dyDescent="0.2">
      <c r="A143" s="127"/>
      <c r="B143" s="145" t="s">
        <v>188</v>
      </c>
      <c r="C143" s="130">
        <v>3652</v>
      </c>
      <c r="D143" s="130">
        <v>3652</v>
      </c>
      <c r="E143" s="130">
        <v>322.60000000000002</v>
      </c>
      <c r="F143" s="142">
        <v>1990.7</v>
      </c>
      <c r="G143" s="212">
        <v>313.89999999999998</v>
      </c>
      <c r="H143" s="109">
        <f t="shared" si="86"/>
        <v>1E-3</v>
      </c>
      <c r="I143" s="154">
        <f t="shared" si="87"/>
        <v>0.97299999999999998</v>
      </c>
      <c r="J143" s="110">
        <f>G143-D143</f>
        <v>-3338.1</v>
      </c>
      <c r="K143" s="109">
        <f>G143/D143</f>
        <v>8.5999999999999993E-2</v>
      </c>
      <c r="L143" s="108">
        <f>G143-F143</f>
        <v>-1676.8</v>
      </c>
    </row>
    <row r="144" spans="1:12" s="28" customFormat="1" x14ac:dyDescent="0.2">
      <c r="A144" s="95" t="s">
        <v>122</v>
      </c>
      <c r="B144" s="101" t="s">
        <v>123</v>
      </c>
      <c r="C144" s="97">
        <f>C145+C146</f>
        <v>592.70000000000005</v>
      </c>
      <c r="D144" s="97">
        <f>D145+D146</f>
        <v>592.70000000000005</v>
      </c>
      <c r="E144" s="97">
        <f>E145+E146</f>
        <v>267.3</v>
      </c>
      <c r="F144" s="224">
        <f>F145+F146</f>
        <v>443.1</v>
      </c>
      <c r="G144" s="210">
        <f>G145+G146</f>
        <v>260.89999999999998</v>
      </c>
      <c r="H144" s="98">
        <f t="shared" si="86"/>
        <v>1E-3</v>
      </c>
      <c r="I144" s="154">
        <f t="shared" si="87"/>
        <v>0.97599999999999998</v>
      </c>
      <c r="J144" s="99">
        <f t="shared" si="83"/>
        <v>-331.8</v>
      </c>
      <c r="K144" s="98">
        <f t="shared" si="84"/>
        <v>0.44</v>
      </c>
      <c r="L144" s="100">
        <f t="shared" si="85"/>
        <v>-182.2</v>
      </c>
    </row>
    <row r="145" spans="1:12" s="49" customFormat="1" x14ac:dyDescent="0.2">
      <c r="A145" s="18" t="s">
        <v>72</v>
      </c>
      <c r="B145" s="21" t="s">
        <v>73</v>
      </c>
      <c r="C145" s="169">
        <v>592.70000000000005</v>
      </c>
      <c r="D145" s="42">
        <v>592.70000000000005</v>
      </c>
      <c r="E145" s="42">
        <v>267.3</v>
      </c>
      <c r="F145" s="42">
        <f>110.1+59.6</f>
        <v>169.7</v>
      </c>
      <c r="G145" s="211">
        <v>260.89999999999998</v>
      </c>
      <c r="H145" s="109">
        <f t="shared" si="86"/>
        <v>1E-3</v>
      </c>
      <c r="I145" s="154">
        <f t="shared" si="87"/>
        <v>0.97599999999999998</v>
      </c>
      <c r="J145" s="110">
        <f t="shared" si="83"/>
        <v>-331.8</v>
      </c>
      <c r="K145" s="109">
        <f t="shared" si="84"/>
        <v>0.44</v>
      </c>
      <c r="L145" s="108">
        <f t="shared" si="85"/>
        <v>91.2</v>
      </c>
    </row>
    <row r="146" spans="1:12" s="49" customFormat="1" x14ac:dyDescent="0.2">
      <c r="A146" s="18" t="s">
        <v>67</v>
      </c>
      <c r="B146" s="21" t="s">
        <v>68</v>
      </c>
      <c r="C146" s="169">
        <v>0</v>
      </c>
      <c r="D146" s="42">
        <v>0</v>
      </c>
      <c r="E146" s="42">
        <v>0</v>
      </c>
      <c r="F146" s="42">
        <f>168+105.4</f>
        <v>273.39999999999998</v>
      </c>
      <c r="G146" s="211">
        <v>0</v>
      </c>
      <c r="H146" s="109">
        <f t="shared" si="86"/>
        <v>0</v>
      </c>
      <c r="I146" s="154" t="str">
        <f t="shared" si="87"/>
        <v>0,0%</v>
      </c>
      <c r="J146" s="110">
        <f t="shared" si="83"/>
        <v>0</v>
      </c>
      <c r="K146" s="109">
        <v>0</v>
      </c>
      <c r="L146" s="108">
        <f t="shared" si="85"/>
        <v>-273.39999999999998</v>
      </c>
    </row>
    <row r="147" spans="1:12" s="28" customFormat="1" x14ac:dyDescent="0.2">
      <c r="A147" s="95" t="s">
        <v>124</v>
      </c>
      <c r="B147" s="101" t="s">
        <v>57</v>
      </c>
      <c r="C147" s="100">
        <f>C148+C151</f>
        <v>6671.4</v>
      </c>
      <c r="D147" s="100">
        <f t="shared" ref="D147:G147" si="88">D148</f>
        <v>12445.1</v>
      </c>
      <c r="E147" s="100">
        <f t="shared" si="88"/>
        <v>4635.5</v>
      </c>
      <c r="F147" s="226">
        <f t="shared" si="88"/>
        <v>2331.6</v>
      </c>
      <c r="G147" s="216">
        <f t="shared" si="88"/>
        <v>4370.8999999999996</v>
      </c>
      <c r="H147" s="98">
        <f t="shared" si="86"/>
        <v>1.6E-2</v>
      </c>
      <c r="I147" s="154">
        <f t="shared" si="87"/>
        <v>0.94299999999999995</v>
      </c>
      <c r="J147" s="99">
        <f t="shared" si="83"/>
        <v>-8074.2</v>
      </c>
      <c r="K147" s="98">
        <f t="shared" si="84"/>
        <v>0.35099999999999998</v>
      </c>
      <c r="L147" s="100">
        <f t="shared" si="85"/>
        <v>2039.3</v>
      </c>
    </row>
    <row r="148" spans="1:12" s="49" customFormat="1" x14ac:dyDescent="0.2">
      <c r="A148" s="18" t="s">
        <v>88</v>
      </c>
      <c r="B148" s="40" t="s">
        <v>192</v>
      </c>
      <c r="C148" s="169">
        <f>C149+C150+96.6</f>
        <v>4667.1000000000004</v>
      </c>
      <c r="D148" s="42">
        <f>D149+D150+2004.3</f>
        <v>12445.1</v>
      </c>
      <c r="E148" s="42">
        <v>4635.5</v>
      </c>
      <c r="F148" s="42">
        <v>2331.6</v>
      </c>
      <c r="G148" s="211">
        <v>4370.8999999999996</v>
      </c>
      <c r="H148" s="109">
        <f t="shared" si="86"/>
        <v>1.6E-2</v>
      </c>
      <c r="I148" s="154">
        <f t="shared" si="87"/>
        <v>0.94299999999999995</v>
      </c>
      <c r="J148" s="110">
        <f t="shared" si="83"/>
        <v>-8074.2</v>
      </c>
      <c r="K148" s="109">
        <f t="shared" si="84"/>
        <v>0.35099999999999998</v>
      </c>
      <c r="L148" s="108">
        <f t="shared" si="85"/>
        <v>2039.3</v>
      </c>
    </row>
    <row r="149" spans="1:12" ht="54" x14ac:dyDescent="0.2">
      <c r="A149" s="19"/>
      <c r="B149" s="10" t="s">
        <v>115</v>
      </c>
      <c r="C149" s="129">
        <v>4047.1</v>
      </c>
      <c r="D149" s="8">
        <v>8367.1</v>
      </c>
      <c r="E149" s="8">
        <v>3512.8</v>
      </c>
      <c r="F149" s="8">
        <v>1914.6</v>
      </c>
      <c r="G149" s="209">
        <v>3491.8</v>
      </c>
      <c r="H149" s="109">
        <f t="shared" si="86"/>
        <v>1.2999999999999999E-2</v>
      </c>
      <c r="I149" s="154">
        <f t="shared" si="87"/>
        <v>0.99399999999999999</v>
      </c>
      <c r="J149" s="110">
        <f t="shared" si="83"/>
        <v>-4875.3</v>
      </c>
      <c r="K149" s="109">
        <f t="shared" si="84"/>
        <v>0.41699999999999998</v>
      </c>
      <c r="L149" s="108">
        <f t="shared" si="85"/>
        <v>1577.2</v>
      </c>
    </row>
    <row r="150" spans="1:12" ht="27" x14ac:dyDescent="0.2">
      <c r="A150" s="19"/>
      <c r="B150" s="10" t="s">
        <v>116</v>
      </c>
      <c r="C150" s="129">
        <v>523.4</v>
      </c>
      <c r="D150" s="8">
        <v>2073.6999999999998</v>
      </c>
      <c r="E150" s="8">
        <v>555.79999999999995</v>
      </c>
      <c r="F150" s="8">
        <v>276.8</v>
      </c>
      <c r="G150" s="209">
        <v>314.10000000000002</v>
      </c>
      <c r="H150" s="109">
        <f t="shared" si="86"/>
        <v>1E-3</v>
      </c>
      <c r="I150" s="154">
        <f t="shared" si="87"/>
        <v>0.56499999999999995</v>
      </c>
      <c r="J150" s="110">
        <f t="shared" si="83"/>
        <v>-1759.6</v>
      </c>
      <c r="K150" s="109">
        <f t="shared" si="84"/>
        <v>0.151</v>
      </c>
      <c r="L150" s="108">
        <f t="shared" si="85"/>
        <v>37.299999999999997</v>
      </c>
    </row>
    <row r="151" spans="1:12" s="49" customFormat="1" ht="27" x14ac:dyDescent="0.2">
      <c r="A151" s="18" t="s">
        <v>193</v>
      </c>
      <c r="B151" s="40" t="s">
        <v>194</v>
      </c>
      <c r="C151" s="169">
        <v>2004.3</v>
      </c>
      <c r="D151" s="42">
        <v>0</v>
      </c>
      <c r="E151" s="42">
        <v>0</v>
      </c>
      <c r="F151" s="8">
        <v>0</v>
      </c>
      <c r="G151" s="211">
        <v>0</v>
      </c>
      <c r="H151" s="109">
        <f t="shared" ref="H151" si="89">G151/$G$160</f>
        <v>0</v>
      </c>
      <c r="I151" s="154" t="str">
        <f t="shared" ref="I151" si="90">IF(E151=0,"0,0%",G151/E151)</f>
        <v>0,0%</v>
      </c>
      <c r="J151" s="110">
        <f t="shared" ref="J151" si="91">G151-D151</f>
        <v>0</v>
      </c>
      <c r="K151" s="109">
        <v>0</v>
      </c>
      <c r="L151" s="108">
        <f t="shared" ref="L151" si="92">G151-F151</f>
        <v>0</v>
      </c>
    </row>
    <row r="152" spans="1:12" x14ac:dyDescent="0.2">
      <c r="A152" s="135"/>
      <c r="B152" s="136" t="s">
        <v>160</v>
      </c>
      <c r="C152" s="136"/>
      <c r="D152" s="137"/>
      <c r="E152" s="137"/>
      <c r="F152" s="137"/>
      <c r="G152" s="209"/>
      <c r="H152" s="109"/>
      <c r="I152" s="109"/>
      <c r="J152" s="110"/>
      <c r="K152" s="109"/>
      <c r="L152" s="108"/>
    </row>
    <row r="153" spans="1:12" ht="27" x14ac:dyDescent="0.2">
      <c r="A153" s="135"/>
      <c r="B153" s="128" t="s">
        <v>117</v>
      </c>
      <c r="C153" s="129">
        <v>3452.8</v>
      </c>
      <c r="D153" s="129">
        <v>6635.9</v>
      </c>
      <c r="E153" s="129">
        <v>2671.2</v>
      </c>
      <c r="F153" s="137">
        <v>1538.9</v>
      </c>
      <c r="G153" s="209">
        <v>2671.2</v>
      </c>
      <c r="H153" s="109">
        <f t="shared" ref="H153:H160" si="93">G153/$G$160</f>
        <v>0.01</v>
      </c>
      <c r="I153" s="154">
        <f t="shared" ref="I153:I160" si="94">IF(E153=0,"0,0%",G153/E153)</f>
        <v>1</v>
      </c>
      <c r="J153" s="110">
        <f>G153-D153</f>
        <v>-3964.7</v>
      </c>
      <c r="K153" s="109">
        <f>G153/D153</f>
        <v>0.40300000000000002</v>
      </c>
      <c r="L153" s="108">
        <f>G153-F153</f>
        <v>1132.3</v>
      </c>
    </row>
    <row r="154" spans="1:12" x14ac:dyDescent="0.2">
      <c r="A154" s="127"/>
      <c r="B154" s="128" t="s">
        <v>121</v>
      </c>
      <c r="C154" s="129">
        <v>446.4</v>
      </c>
      <c r="D154" s="129">
        <v>845.9</v>
      </c>
      <c r="E154" s="129">
        <v>711.3</v>
      </c>
      <c r="F154" s="137">
        <v>304.39999999999998</v>
      </c>
      <c r="G154" s="209">
        <v>711.3</v>
      </c>
      <c r="H154" s="109">
        <f t="shared" si="93"/>
        <v>3.0000000000000001E-3</v>
      </c>
      <c r="I154" s="154">
        <f t="shared" si="94"/>
        <v>1</v>
      </c>
      <c r="J154" s="110">
        <f>G154-D154</f>
        <v>-134.6</v>
      </c>
      <c r="K154" s="109">
        <f>G154/D154</f>
        <v>0.84099999999999997</v>
      </c>
      <c r="L154" s="108">
        <f>G154-F154</f>
        <v>406.9</v>
      </c>
    </row>
    <row r="155" spans="1:12" x14ac:dyDescent="0.2">
      <c r="A155" s="127"/>
      <c r="B155" s="145" t="s">
        <v>188</v>
      </c>
      <c r="C155" s="130">
        <v>2527.6999999999998</v>
      </c>
      <c r="D155" s="130">
        <v>4048</v>
      </c>
      <c r="E155" s="130">
        <v>1092.7</v>
      </c>
      <c r="F155" s="142">
        <v>417</v>
      </c>
      <c r="G155" s="212">
        <v>849.1</v>
      </c>
      <c r="H155" s="109">
        <f t="shared" si="93"/>
        <v>3.0000000000000001E-3</v>
      </c>
      <c r="I155" s="154">
        <f t="shared" si="94"/>
        <v>0.77700000000000002</v>
      </c>
      <c r="J155" s="110">
        <f>G155-D155</f>
        <v>-3198.9</v>
      </c>
      <c r="K155" s="109">
        <f>G155/D155</f>
        <v>0.21</v>
      </c>
      <c r="L155" s="108">
        <f>G155-F155</f>
        <v>432.1</v>
      </c>
    </row>
    <row r="156" spans="1:12" s="28" customFormat="1" ht="27" x14ac:dyDescent="0.2">
      <c r="A156" s="104">
        <v>1300</v>
      </c>
      <c r="B156" s="101" t="s">
        <v>125</v>
      </c>
      <c r="C156" s="100">
        <f>C157</f>
        <v>5207.7</v>
      </c>
      <c r="D156" s="100">
        <f>D157</f>
        <v>6599.7</v>
      </c>
      <c r="E156" s="100">
        <f>E157</f>
        <v>3521.3</v>
      </c>
      <c r="F156" s="226">
        <f>F157</f>
        <v>2043.6</v>
      </c>
      <c r="G156" s="216">
        <f>G157</f>
        <v>3463.2</v>
      </c>
      <c r="H156" s="98">
        <f t="shared" si="93"/>
        <v>1.2999999999999999E-2</v>
      </c>
      <c r="I156" s="154">
        <f t="shared" si="94"/>
        <v>0.98399999999999999</v>
      </c>
      <c r="J156" s="99">
        <f t="shared" si="83"/>
        <v>-3136.5</v>
      </c>
      <c r="K156" s="98">
        <f t="shared" si="84"/>
        <v>0.52500000000000002</v>
      </c>
      <c r="L156" s="100">
        <f t="shared" si="85"/>
        <v>1419.6</v>
      </c>
    </row>
    <row r="157" spans="1:12" s="49" customFormat="1" ht="27" x14ac:dyDescent="0.2">
      <c r="A157" s="18" t="s">
        <v>85</v>
      </c>
      <c r="B157" s="40" t="s">
        <v>126</v>
      </c>
      <c r="C157" s="169">
        <v>5207.7</v>
      </c>
      <c r="D157" s="42">
        <v>6599.7</v>
      </c>
      <c r="E157" s="42">
        <v>3521.3</v>
      </c>
      <c r="F157" s="42">
        <v>2043.6</v>
      </c>
      <c r="G157" s="211">
        <v>3463.2</v>
      </c>
      <c r="H157" s="109">
        <f t="shared" si="93"/>
        <v>1.2999999999999999E-2</v>
      </c>
      <c r="I157" s="154">
        <f t="shared" si="94"/>
        <v>0.98399999999999999</v>
      </c>
      <c r="J157" s="110">
        <f t="shared" si="83"/>
        <v>-3136.5</v>
      </c>
      <c r="K157" s="109">
        <f t="shared" si="84"/>
        <v>0.52500000000000002</v>
      </c>
      <c r="L157" s="108">
        <f t="shared" si="85"/>
        <v>1419.6</v>
      </c>
    </row>
    <row r="158" spans="1:12" s="28" customFormat="1" ht="40.5" x14ac:dyDescent="0.2">
      <c r="A158" s="104">
        <v>1400</v>
      </c>
      <c r="B158" s="101" t="s">
        <v>196</v>
      </c>
      <c r="C158" s="100">
        <f>C159</f>
        <v>15771.5</v>
      </c>
      <c r="D158" s="100">
        <f>D159</f>
        <v>25177.3</v>
      </c>
      <c r="E158" s="100">
        <f>E159</f>
        <v>15500</v>
      </c>
      <c r="F158" s="226">
        <f>F159</f>
        <v>0</v>
      </c>
      <c r="G158" s="216">
        <f>G159</f>
        <v>15500</v>
      </c>
      <c r="H158" s="98">
        <f t="shared" si="93"/>
        <v>5.7000000000000002E-2</v>
      </c>
      <c r="I158" s="154">
        <f t="shared" ref="I158:I159" si="95">IF(E158=0,"0,0%",G158/E158)</f>
        <v>1</v>
      </c>
      <c r="J158" s="99">
        <f t="shared" ref="J158:J159" si="96">G158-D158</f>
        <v>-9677.2999999999993</v>
      </c>
      <c r="K158" s="98">
        <f t="shared" ref="K158:K159" si="97">G158/D158</f>
        <v>0.61599999999999999</v>
      </c>
      <c r="L158" s="100">
        <f t="shared" ref="L158:L159" si="98">G158-F158</f>
        <v>15500</v>
      </c>
    </row>
    <row r="159" spans="1:12" s="49" customFormat="1" ht="27" x14ac:dyDescent="0.2">
      <c r="A159" s="18" t="s">
        <v>195</v>
      </c>
      <c r="B159" s="40" t="s">
        <v>197</v>
      </c>
      <c r="C159" s="169">
        <v>15771.5</v>
      </c>
      <c r="D159" s="42">
        <v>25177.3</v>
      </c>
      <c r="E159" s="42">
        <v>15500</v>
      </c>
      <c r="F159" s="42">
        <v>0</v>
      </c>
      <c r="G159" s="211">
        <v>15500</v>
      </c>
      <c r="H159" s="109">
        <f t="shared" si="93"/>
        <v>5.7000000000000002E-2</v>
      </c>
      <c r="I159" s="154">
        <f t="shared" si="95"/>
        <v>1</v>
      </c>
      <c r="J159" s="110">
        <f t="shared" si="96"/>
        <v>-9677.2999999999993</v>
      </c>
      <c r="K159" s="109">
        <f t="shared" si="97"/>
        <v>0.61599999999999999</v>
      </c>
      <c r="L159" s="108">
        <f t="shared" si="98"/>
        <v>15500</v>
      </c>
    </row>
    <row r="160" spans="1:12" s="28" customFormat="1" ht="16.5" x14ac:dyDescent="0.2">
      <c r="A160" s="95"/>
      <c r="B160" s="105" t="s">
        <v>62</v>
      </c>
      <c r="C160" s="100">
        <f>C55+C77+C84+C103+C126+C134+C144+C147+C156+C158</f>
        <v>599541.4</v>
      </c>
      <c r="D160" s="100">
        <f t="shared" ref="D160:E160" si="99">D55+D77+D84+D103+D126+D134+D144+D147+D156+D158</f>
        <v>629751.19999999995</v>
      </c>
      <c r="E160" s="100">
        <f t="shared" si="99"/>
        <v>280802.40000000002</v>
      </c>
      <c r="F160" s="226">
        <f>F55+F77+F84+F103+F126+F134+F144+F147+F156+F158+F74</f>
        <v>272957.59999999998</v>
      </c>
      <c r="G160" s="216">
        <f>G55+G77+G84+G103+G126+G134+G144+G147+G156+G158</f>
        <v>272925.90000000002</v>
      </c>
      <c r="H160" s="98">
        <f t="shared" si="93"/>
        <v>1</v>
      </c>
      <c r="I160" s="154">
        <f t="shared" si="94"/>
        <v>0.97199999999999998</v>
      </c>
      <c r="J160" s="100">
        <f>J55+J77+J84+J103+J126+J134+J144+J147+J156</f>
        <v>-347148</v>
      </c>
      <c r="K160" s="98">
        <f>G160/D160</f>
        <v>0.433</v>
      </c>
      <c r="L160" s="100">
        <f>G160-F160</f>
        <v>-31.7</v>
      </c>
    </row>
    <row r="161" spans="1:12" s="1" customFormat="1" ht="16.5" x14ac:dyDescent="0.2">
      <c r="A161" s="37"/>
      <c r="B161" s="84"/>
      <c r="C161" s="173"/>
      <c r="D161" s="94"/>
      <c r="E161" s="94"/>
      <c r="F161" s="195"/>
      <c r="G161" s="218"/>
      <c r="H161" s="121"/>
      <c r="I161" s="153"/>
      <c r="J161" s="122"/>
      <c r="K161" s="121"/>
      <c r="L161" s="123"/>
    </row>
    <row r="162" spans="1:12" x14ac:dyDescent="0.2">
      <c r="A162" s="20"/>
      <c r="B162" s="7" t="s">
        <v>76</v>
      </c>
      <c r="C162" s="248">
        <f>C52-C160</f>
        <v>0</v>
      </c>
      <c r="D162" s="250">
        <f>D52-D160</f>
        <v>-7628.9</v>
      </c>
      <c r="E162" s="250">
        <f>E52-E160</f>
        <v>-27628.9</v>
      </c>
      <c r="F162" s="250">
        <f>F52-F160</f>
        <v>48515.1</v>
      </c>
      <c r="G162" s="252">
        <f>G52-G160</f>
        <v>-25924.7</v>
      </c>
      <c r="H162" s="240">
        <f>G162/G162</f>
        <v>1</v>
      </c>
      <c r="I162" s="153"/>
      <c r="J162" s="242">
        <f t="shared" ref="J162:J168" si="100">G162-D162</f>
        <v>-18295.8</v>
      </c>
      <c r="K162" s="240">
        <f>G162/D162</f>
        <v>3.3980000000000001</v>
      </c>
      <c r="L162" s="245">
        <f>G162-F162</f>
        <v>-74439.8</v>
      </c>
    </row>
    <row r="163" spans="1:12" x14ac:dyDescent="0.2">
      <c r="A163" s="20"/>
      <c r="B163" s="7" t="s">
        <v>77</v>
      </c>
      <c r="C163" s="249"/>
      <c r="D163" s="251"/>
      <c r="E163" s="251"/>
      <c r="F163" s="251"/>
      <c r="G163" s="253"/>
      <c r="H163" s="241"/>
      <c r="I163" s="154" t="str">
        <f>IF(E163=0,"0,0%",G163/E163)</f>
        <v>0,0%</v>
      </c>
      <c r="J163" s="243"/>
      <c r="K163" s="241"/>
      <c r="L163" s="246"/>
    </row>
    <row r="164" spans="1:12" ht="27" x14ac:dyDescent="0.2">
      <c r="A164" s="20"/>
      <c r="B164" s="7" t="s">
        <v>78</v>
      </c>
      <c r="C164" s="171">
        <f>C165+C168</f>
        <v>0</v>
      </c>
      <c r="D164" s="6">
        <f>D165+D168</f>
        <v>7628.9</v>
      </c>
      <c r="E164" s="6">
        <f>E165+E168</f>
        <v>7628.9</v>
      </c>
      <c r="F164" s="6">
        <f>F165+F168</f>
        <v>-48515.1</v>
      </c>
      <c r="G164" s="208">
        <f>G165+G168</f>
        <v>25924.7</v>
      </c>
      <c r="H164" s="98">
        <f>G164/G164</f>
        <v>1</v>
      </c>
      <c r="I164" s="154">
        <f>IF(E164=0,"0,0%",G164/E164)</f>
        <v>3.3980000000000001</v>
      </c>
      <c r="J164" s="99">
        <f t="shared" si="100"/>
        <v>18295.8</v>
      </c>
      <c r="K164" s="98">
        <f t="shared" ref="K164:K170" si="101">G164/D164</f>
        <v>3.3980000000000001</v>
      </c>
      <c r="L164" s="100">
        <f>G164-F164</f>
        <v>74439.8</v>
      </c>
    </row>
    <row r="165" spans="1:12" ht="27" x14ac:dyDescent="0.2">
      <c r="A165" s="50" t="s">
        <v>95</v>
      </c>
      <c r="B165" s="85" t="s">
        <v>96</v>
      </c>
      <c r="C165" s="174">
        <f>C166+C167</f>
        <v>0</v>
      </c>
      <c r="D165" s="174">
        <f>D166+D167</f>
        <v>0</v>
      </c>
      <c r="E165" s="43">
        <f>E166-E167</f>
        <v>0</v>
      </c>
      <c r="F165" s="43">
        <f>F166-F167</f>
        <v>0</v>
      </c>
      <c r="G165" s="216">
        <f>G166-G167</f>
        <v>20000</v>
      </c>
      <c r="H165" s="98">
        <v>0</v>
      </c>
      <c r="I165" s="98">
        <v>0</v>
      </c>
      <c r="J165" s="99">
        <f t="shared" si="100"/>
        <v>20000</v>
      </c>
      <c r="K165" s="98">
        <v>0</v>
      </c>
      <c r="L165" s="124">
        <f>G165-F165</f>
        <v>20000</v>
      </c>
    </row>
    <row r="166" spans="1:12" s="49" customFormat="1" ht="40.5" x14ac:dyDescent="0.2">
      <c r="A166" s="19" t="s">
        <v>91</v>
      </c>
      <c r="B166" s="86" t="s">
        <v>92</v>
      </c>
      <c r="C166" s="169">
        <v>60000</v>
      </c>
      <c r="D166" s="42">
        <v>60000</v>
      </c>
      <c r="E166" s="42">
        <v>0</v>
      </c>
      <c r="F166" s="42">
        <v>0</v>
      </c>
      <c r="G166" s="211">
        <v>20000</v>
      </c>
      <c r="H166" s="98">
        <v>0</v>
      </c>
      <c r="I166" s="98">
        <v>0</v>
      </c>
      <c r="J166" s="119">
        <f t="shared" si="100"/>
        <v>-40000</v>
      </c>
      <c r="K166" s="118">
        <f t="shared" si="101"/>
        <v>0.33300000000000002</v>
      </c>
      <c r="L166" s="124">
        <f>G166-F166</f>
        <v>20000</v>
      </c>
    </row>
    <row r="167" spans="1:12" s="49" customFormat="1" ht="40.5" x14ac:dyDescent="0.2">
      <c r="A167" s="19" t="s">
        <v>93</v>
      </c>
      <c r="B167" s="86" t="s">
        <v>94</v>
      </c>
      <c r="C167" s="169">
        <v>-60000</v>
      </c>
      <c r="D167" s="42">
        <v>-60000</v>
      </c>
      <c r="E167" s="42">
        <v>0</v>
      </c>
      <c r="F167" s="42">
        <v>0</v>
      </c>
      <c r="G167" s="211">
        <v>0</v>
      </c>
      <c r="H167" s="98">
        <v>0</v>
      </c>
      <c r="I167" s="98">
        <v>0</v>
      </c>
      <c r="J167" s="119">
        <f t="shared" si="100"/>
        <v>60000</v>
      </c>
      <c r="K167" s="118">
        <f t="shared" si="101"/>
        <v>0</v>
      </c>
      <c r="L167" s="124">
        <f>G167-F167</f>
        <v>0</v>
      </c>
    </row>
    <row r="168" spans="1:12" ht="27" x14ac:dyDescent="0.2">
      <c r="A168" s="50" t="s">
        <v>97</v>
      </c>
      <c r="B168" s="85" t="s">
        <v>98</v>
      </c>
      <c r="C168" s="174">
        <f>C169+C170</f>
        <v>0</v>
      </c>
      <c r="D168" s="43">
        <f>D169+D170</f>
        <v>7628.9</v>
      </c>
      <c r="E168" s="43">
        <f>E169+E170</f>
        <v>7628.9</v>
      </c>
      <c r="F168" s="43">
        <f>F169+F170</f>
        <v>-48515.1</v>
      </c>
      <c r="G168" s="216">
        <f>G169+G170</f>
        <v>5924.7</v>
      </c>
      <c r="H168" s="98">
        <f>G164/G168</f>
        <v>4.3760000000000003</v>
      </c>
      <c r="I168" s="98">
        <v>0</v>
      </c>
      <c r="J168" s="99">
        <f t="shared" si="100"/>
        <v>-1704.2</v>
      </c>
      <c r="K168" s="98">
        <f t="shared" si="101"/>
        <v>0.77700000000000002</v>
      </c>
      <c r="L168" s="120">
        <f>G168-F168</f>
        <v>54439.8</v>
      </c>
    </row>
    <row r="169" spans="1:12" ht="27" x14ac:dyDescent="0.2">
      <c r="A169" s="18" t="s">
        <v>99</v>
      </c>
      <c r="B169" s="9" t="s">
        <v>58</v>
      </c>
      <c r="C169" s="169">
        <v>0</v>
      </c>
      <c r="D169" s="42">
        <v>0</v>
      </c>
      <c r="E169" s="42">
        <v>0</v>
      </c>
      <c r="F169" s="42">
        <v>-322333.40000000002</v>
      </c>
      <c r="G169" s="211">
        <v>-267199.5</v>
      </c>
      <c r="H169" s="98">
        <f t="shared" ref="H169:H170" si="102">G165/G169</f>
        <v>-7.4999999999999997E-2</v>
      </c>
      <c r="I169" s="98">
        <v>0</v>
      </c>
      <c r="J169" s="110">
        <f>G169-D169</f>
        <v>-267199.5</v>
      </c>
      <c r="K169" s="109">
        <v>0</v>
      </c>
      <c r="L169" s="108">
        <f>-(L52)</f>
        <v>74471.5</v>
      </c>
    </row>
    <row r="170" spans="1:12" ht="27" x14ac:dyDescent="0.2">
      <c r="A170" s="18" t="s">
        <v>100</v>
      </c>
      <c r="B170" s="9" t="s">
        <v>59</v>
      </c>
      <c r="C170" s="169">
        <v>0</v>
      </c>
      <c r="D170" s="42">
        <v>7628.9</v>
      </c>
      <c r="E170" s="42">
        <v>7628.9</v>
      </c>
      <c r="F170" s="42">
        <v>273818.3</v>
      </c>
      <c r="G170" s="211">
        <v>273124.2</v>
      </c>
      <c r="H170" s="98">
        <f t="shared" si="102"/>
        <v>7.2999999999999995E-2</v>
      </c>
      <c r="I170" s="98">
        <v>0</v>
      </c>
      <c r="J170" s="110">
        <f>G170-D170</f>
        <v>265495.3</v>
      </c>
      <c r="K170" s="109">
        <f t="shared" si="101"/>
        <v>35.801000000000002</v>
      </c>
      <c r="L170" s="108">
        <f>L160</f>
        <v>-31.7</v>
      </c>
    </row>
    <row r="171" spans="1:12" hidden="1" x14ac:dyDescent="0.2">
      <c r="A171" s="19" t="s">
        <v>10</v>
      </c>
      <c r="B171" s="12" t="s">
        <v>9</v>
      </c>
      <c r="C171" s="175"/>
      <c r="D171" s="33"/>
      <c r="E171" s="8" t="s">
        <v>10</v>
      </c>
      <c r="F171" s="8"/>
      <c r="G171" s="209"/>
      <c r="H171" s="109"/>
      <c r="I171" s="109"/>
      <c r="J171" s="110"/>
      <c r="K171" s="109"/>
      <c r="L171" s="108"/>
    </row>
    <row r="172" spans="1:12" ht="27" hidden="1" x14ac:dyDescent="0.2">
      <c r="A172" s="106"/>
      <c r="B172" s="107" t="s">
        <v>162</v>
      </c>
      <c r="C172" s="108">
        <f>C71+C123+C131+C141+C153</f>
        <v>77201.100000000006</v>
      </c>
      <c r="D172" s="108">
        <f>D71+D123+D131+D141+D153</f>
        <v>79486.2</v>
      </c>
      <c r="E172" s="108">
        <f>E71+E123+E131+E141+E153</f>
        <v>37968.800000000003</v>
      </c>
      <c r="F172" s="8">
        <f>F71+F123+F131+F141+F153</f>
        <v>68938.7</v>
      </c>
      <c r="G172" s="209">
        <f>G71+G123+G131+G141+G153</f>
        <v>37968.199999999997</v>
      </c>
      <c r="H172" s="118">
        <f t="shared" ref="H172:H177" si="103">G172/$G$160</f>
        <v>0.13900000000000001</v>
      </c>
      <c r="I172" s="154">
        <f t="shared" ref="I172:I177" si="104">IF(E172=0,"0,0%",G172/E172)</f>
        <v>1</v>
      </c>
      <c r="J172" s="119">
        <f t="shared" ref="J172:J177" si="105">G172-D172</f>
        <v>-41518</v>
      </c>
      <c r="K172" s="118">
        <f t="shared" ref="K172:K177" si="106">G172/D172</f>
        <v>0.47799999999999998</v>
      </c>
      <c r="L172" s="124">
        <f t="shared" ref="L172:L177" si="107">G172-F172</f>
        <v>-30970.5</v>
      </c>
    </row>
    <row r="173" spans="1:12" hidden="1" x14ac:dyDescent="0.2">
      <c r="A173" s="106" t="s">
        <v>10</v>
      </c>
      <c r="B173" s="107" t="s">
        <v>161</v>
      </c>
      <c r="C173" s="108"/>
      <c r="D173" s="108">
        <f>D71+114.7</f>
        <v>15435.6</v>
      </c>
      <c r="E173" s="108">
        <f>E71+114.7</f>
        <v>7007.5</v>
      </c>
      <c r="F173" s="8"/>
      <c r="G173" s="209">
        <f>G71+114.7</f>
        <v>7007.4</v>
      </c>
      <c r="H173" s="118">
        <f t="shared" si="103"/>
        <v>2.5999999999999999E-2</v>
      </c>
      <c r="I173" s="154">
        <f t="shared" si="104"/>
        <v>1</v>
      </c>
      <c r="J173" s="119">
        <f t="shared" si="105"/>
        <v>-8428.2000000000007</v>
      </c>
      <c r="K173" s="118">
        <f t="shared" si="106"/>
        <v>0.45400000000000001</v>
      </c>
      <c r="L173" s="124">
        <f t="shared" si="107"/>
        <v>7007.4</v>
      </c>
    </row>
    <row r="174" spans="1:12" ht="27" hidden="1" x14ac:dyDescent="0.2">
      <c r="A174" s="106"/>
      <c r="B174" s="107" t="s">
        <v>204</v>
      </c>
      <c r="C174" s="108">
        <f>C153+C141+C131</f>
        <v>63463</v>
      </c>
      <c r="D174" s="108">
        <f>D153+D141+D131</f>
        <v>63463.1</v>
      </c>
      <c r="E174" s="108">
        <f t="shared" ref="E174:F174" si="108">E153+E141+E131</f>
        <v>30373.8</v>
      </c>
      <c r="F174" s="8">
        <f t="shared" si="108"/>
        <v>30291.3</v>
      </c>
      <c r="G174" s="209">
        <f>G153+G141+G131</f>
        <v>30373.3</v>
      </c>
      <c r="H174" s="118">
        <f t="shared" si="103"/>
        <v>0.111</v>
      </c>
      <c r="I174" s="154">
        <f t="shared" si="104"/>
        <v>1</v>
      </c>
      <c r="J174" s="119">
        <f t="shared" si="105"/>
        <v>-33089.800000000003</v>
      </c>
      <c r="K174" s="118">
        <f t="shared" si="106"/>
        <v>0.47899999999999998</v>
      </c>
      <c r="L174" s="124">
        <f t="shared" si="107"/>
        <v>82</v>
      </c>
    </row>
    <row r="175" spans="1:12" hidden="1" x14ac:dyDescent="0.2">
      <c r="A175" s="106" t="s">
        <v>10</v>
      </c>
      <c r="B175" s="107" t="s">
        <v>121</v>
      </c>
      <c r="C175" s="108">
        <f>C72+C132+C142+C154</f>
        <v>9018.7999999999993</v>
      </c>
      <c r="D175" s="108">
        <f>D72+D132+D142+D154</f>
        <v>9350.5</v>
      </c>
      <c r="E175" s="108">
        <f>E72+E132+E142+E154</f>
        <v>5220</v>
      </c>
      <c r="F175" s="8">
        <f>F72+F132+F142+F154</f>
        <v>5220.6000000000004</v>
      </c>
      <c r="G175" s="209">
        <f>G72+G132+G142+G154</f>
        <v>5218.8999999999996</v>
      </c>
      <c r="H175" s="118">
        <f t="shared" si="103"/>
        <v>1.9E-2</v>
      </c>
      <c r="I175" s="154">
        <f t="shared" si="104"/>
        <v>1</v>
      </c>
      <c r="J175" s="119">
        <f t="shared" si="105"/>
        <v>-4131.6000000000004</v>
      </c>
      <c r="K175" s="118">
        <f t="shared" si="106"/>
        <v>0.55800000000000005</v>
      </c>
      <c r="L175" s="124">
        <f t="shared" si="107"/>
        <v>-1.7</v>
      </c>
    </row>
    <row r="176" spans="1:12" hidden="1" x14ac:dyDescent="0.2">
      <c r="A176" s="106" t="s">
        <v>10</v>
      </c>
      <c r="B176" s="111" t="s">
        <v>84</v>
      </c>
      <c r="C176" s="129"/>
      <c r="D176" s="151"/>
      <c r="E176" s="151"/>
      <c r="F176" s="8"/>
      <c r="G176" s="209"/>
      <c r="H176" s="118">
        <f t="shared" si="103"/>
        <v>0</v>
      </c>
      <c r="I176" s="154" t="str">
        <f t="shared" si="104"/>
        <v>0,0%</v>
      </c>
      <c r="J176" s="119">
        <f t="shared" si="105"/>
        <v>0</v>
      </c>
      <c r="K176" s="118" t="e">
        <f t="shared" si="106"/>
        <v>#DIV/0!</v>
      </c>
      <c r="L176" s="124">
        <f t="shared" si="107"/>
        <v>0</v>
      </c>
    </row>
    <row r="177" spans="1:12" hidden="1" x14ac:dyDescent="0.2">
      <c r="A177" s="106"/>
      <c r="B177" s="111" t="s">
        <v>127</v>
      </c>
      <c r="C177" s="108">
        <f>C73+C83+C102+C125+C133+C143+C155</f>
        <v>426483.6</v>
      </c>
      <c r="D177" s="108">
        <f>D73+D83+D102+D125+D133+D143+D155</f>
        <v>385376.4</v>
      </c>
      <c r="E177" s="108">
        <f>E73+E83+E102+E125+E133+E143+E155</f>
        <v>176240.8</v>
      </c>
      <c r="F177" s="8">
        <f>F73+F83+F102+F125+F133+F143+F155</f>
        <v>11267.5</v>
      </c>
      <c r="G177" s="209">
        <f>G73+G83+G102+G125+G133+G143+G155</f>
        <v>170536.5</v>
      </c>
      <c r="H177" s="118">
        <f t="shared" si="103"/>
        <v>0.625</v>
      </c>
      <c r="I177" s="154">
        <f t="shared" si="104"/>
        <v>0.96799999999999997</v>
      </c>
      <c r="J177" s="119">
        <f t="shared" si="105"/>
        <v>-214839.9</v>
      </c>
      <c r="K177" s="118">
        <f t="shared" si="106"/>
        <v>0.443</v>
      </c>
      <c r="L177" s="124">
        <f t="shared" si="107"/>
        <v>159269</v>
      </c>
    </row>
    <row r="178" spans="1:12" x14ac:dyDescent="0.2">
      <c r="B178" s="131"/>
      <c r="C178" s="35"/>
      <c r="D178" s="36"/>
      <c r="E178" s="36"/>
      <c r="F178" s="36"/>
      <c r="G178" s="219"/>
      <c r="H178" s="38"/>
      <c r="I178" s="38"/>
      <c r="J178" s="39"/>
      <c r="K178" s="38"/>
      <c r="L178" s="36"/>
    </row>
    <row r="179" spans="1:12" x14ac:dyDescent="0.2">
      <c r="A179" s="76"/>
      <c r="D179" s="36"/>
      <c r="H179" s="74" t="s">
        <v>10</v>
      </c>
    </row>
    <row r="180" spans="1:12" x14ac:dyDescent="0.2">
      <c r="B180" s="87"/>
      <c r="C180" s="88"/>
      <c r="D180" s="89"/>
      <c r="E180" s="90"/>
      <c r="F180" s="45"/>
      <c r="G180" s="220"/>
      <c r="H180" s="91"/>
      <c r="I180" s="91"/>
      <c r="J180" s="91"/>
      <c r="K180" s="74" t="s">
        <v>10</v>
      </c>
      <c r="L180" s="2"/>
    </row>
    <row r="181" spans="1:12" x14ac:dyDescent="0.2">
      <c r="B181" s="92"/>
      <c r="C181" s="92"/>
      <c r="D181" s="89"/>
      <c r="E181" s="91"/>
      <c r="F181" s="91"/>
      <c r="G181" s="221"/>
      <c r="H181" s="91"/>
      <c r="I181" s="91"/>
      <c r="J181" s="93"/>
    </row>
    <row r="184" spans="1:12" x14ac:dyDescent="0.2">
      <c r="E184" s="74" t="s">
        <v>10</v>
      </c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1">
    <mergeCell ref="H162:H163"/>
    <mergeCell ref="J162:J163"/>
    <mergeCell ref="K162:K163"/>
    <mergeCell ref="H1:L1"/>
    <mergeCell ref="L162:L163"/>
    <mergeCell ref="A2:K2"/>
    <mergeCell ref="C162:C163"/>
    <mergeCell ref="D162:D163"/>
    <mergeCell ref="E162:E163"/>
    <mergeCell ref="G162:G163"/>
    <mergeCell ref="F162:F163"/>
  </mergeCells>
  <phoneticPr fontId="0" type="noConversion"/>
  <pageMargins left="0.27559055118110237" right="0.19685039370078741" top="0.31496062992125984" bottom="0.19685039370078741" header="0.15748031496062992" footer="0.19685039370078741"/>
  <pageSetup paperSize="9" scale="85" fitToHeight="0" orientation="landscape" blackAndWhite="1" horizontalDpi="1200" verticalDpi="1200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Наталья Е. Ганюшкина</cp:lastModifiedBy>
  <cp:lastPrinted>2014-07-16T13:01:25Z</cp:lastPrinted>
  <dcterms:created xsi:type="dcterms:W3CDTF">1998-04-06T06:06:47Z</dcterms:created>
  <dcterms:modified xsi:type="dcterms:W3CDTF">2014-07-18T11:40:11Z</dcterms:modified>
</cp:coreProperties>
</file>