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бюджета'!$A$1:$L$194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бюджета'!$A$1:$L$194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бюджета'!$A$1:$K$193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бюджета'!$A$1:$K$194</definedName>
    <definedName name="Z_4F278C51_CC0C_4908_B19B_FD853FE30C23_.wvu.PrintArea" localSheetId="0" hidden="1">'Анализ бюджета'!$A$1:$K$193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бюджета'!$A$1:$L$194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бюджета'!$39:$40,'Анализ бюджета'!$47:$48,'Анализ бюджета'!$140:$140</definedName>
    <definedName name="Z_735893B7_5E6F_4E87_8F79_7422E435EC59_.wvu.PrintArea" localSheetId="0" hidden="1">'Анализ бюджета'!$A$1:$K$196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бюджета'!$31:$36</definedName>
    <definedName name="Z_8F58F720_5478_11D7_8E43_00002120D636_.wvu.PrintArea" localSheetId="0" hidden="1">'Анализ бюджета'!$A$2:$K$50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бюджета'!$A$1:$L$194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бюджета'!$39:$40,'Анализ бюджета'!$47:$48,'Анализ бюджета'!#REF!,'Анализ бюджета'!$140:$140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бюджета'!$A$1:$K$196</definedName>
    <definedName name="Z_97B5DCE1_CCA4_11D7_B6CC_0007E980B7D4_.wvu.Rows" localSheetId="0" hidden="1">'Анализ бюджета'!#REF!,'Анализ бюджета'!$31:$36</definedName>
    <definedName name="Z_A91D99C2_8122_48C0_91AB_172E51C62B1D_.wvu.PrintArea" localSheetId="0" hidden="1">'Анализ бюджета'!$A$1:$K$193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бюджета'!$A$1:$L$194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бюджета'!$140:$140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бюджета'!$A$1:$K$193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бюджета'!$E:$E</definedName>
    <definedName name="Z_DD5C3F45_D2CB_45EC_9051_F348430664E8_.wvu.PrintArea" localSheetId="0" hidden="1">'Анализ бюджета'!$A$1:$L$194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бюджета'!$39:$40,'Анализ бюджета'!$47:$48,'Анализ бюджета'!$140:$140</definedName>
    <definedName name="Z_E64E5F61_FD5E_11DA_AA5B_0004761D6C8E_.wvu.PrintArea" localSheetId="0" hidden="1">'Анализ бюджета'!$A$1:$K$193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бюджета'!$G$49</definedName>
    <definedName name="Всего_расходов_2002">'Анализ бюджета'!#REF!</definedName>
    <definedName name="Всего_расходов_2003">'Анализ бюджета'!$G$125</definedName>
    <definedName name="_xlnm.Print_Titles" localSheetId="0">'Анализ бюджета'!$4:$5</definedName>
    <definedName name="_xlnm.Print_Area" localSheetId="0">'Анализ бюджета'!$A$1:$L$182</definedName>
  </definedNames>
  <calcPr calcId="145621" fullPrecision="0"/>
  <customWorkbookViews>
    <customWorkbookView name="Прокопенко - Личное представление" guid="{0BD4437E-22A9-4FBD-A5E2-5BE85718F571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МФ - Личное представление" guid="{E64E5F61-FD5E-11DA-AA5B-0004761D6C8E}" mergeInterval="0" personalView="1" maximized="1" windowWidth="796" windowHeight="438" activeSheetId="1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Elena - Личное представление" guid="{8F58F720-5478-11D7-8E43-00002120D636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Tatyana - Личное представление" guid="{CD228F81-555E-11D7-A5BE-0050BF58DBA5}" mergeInterval="0" personalView="1" maximized="1" windowWidth="796" windowHeight="438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Athlon - Личное представление" guid="{AE4F8834-9834-4486-A1C0-FEF04E11EC4A}" mergeInterval="0" personalView="1" maximized="1" windowWidth="1020" windowHeight="587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наташа - Личное представление" guid="{19D3A214-C4D6-4FE6-9A50-A9E846DFEC72}" mergeInterval="0" personalView="1" maximized="1" windowWidth="1276" windowHeight="884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taktashovaev - Личное представление" guid="{C76330A2-057D-4E27-B720-532A3C304D14}" mergeInterval="0" personalView="1" maximized="1" xWindow="1" yWindow="1" windowWidth="1276" windowHeight="739" activeSheetId="1"/>
  </customWorkbookViews>
</workbook>
</file>

<file path=xl/calcChain.xml><?xml version="1.0" encoding="utf-8"?>
<calcChain xmlns="http://schemas.openxmlformats.org/spreadsheetml/2006/main">
  <c r="F86" i="1" l="1"/>
  <c r="F83" i="1" s="1"/>
  <c r="F138" i="1" l="1"/>
  <c r="D101" i="1" l="1"/>
  <c r="C98" i="1"/>
  <c r="G114" i="1" l="1"/>
  <c r="G116" i="1"/>
  <c r="E114" i="1"/>
  <c r="E116" i="1"/>
  <c r="D115" i="1"/>
  <c r="D114" i="1"/>
  <c r="D116" i="1"/>
  <c r="G113" i="1"/>
  <c r="E113" i="1"/>
  <c r="D113" i="1"/>
  <c r="E117" i="1"/>
  <c r="D117" i="1"/>
  <c r="E105" i="1"/>
  <c r="G104" i="1"/>
  <c r="E104" i="1"/>
  <c r="G105" i="1"/>
  <c r="E91" i="1"/>
  <c r="G85" i="1"/>
  <c r="G86" i="1"/>
  <c r="E85" i="1"/>
  <c r="E86" i="1"/>
  <c r="F113" i="1"/>
  <c r="F111" i="1" s="1"/>
  <c r="F105" i="1"/>
  <c r="F98" i="1" s="1"/>
  <c r="F91" i="1"/>
  <c r="G98" i="1" l="1"/>
  <c r="E111" i="1"/>
  <c r="D111" i="1"/>
  <c r="E98" i="1"/>
  <c r="D98" i="1"/>
  <c r="L101" i="1"/>
  <c r="K101" i="1"/>
  <c r="J101" i="1"/>
  <c r="I101" i="1"/>
  <c r="D96" i="1"/>
  <c r="D86" i="1"/>
  <c r="D85" i="1"/>
  <c r="K32" i="1"/>
  <c r="F117" i="1"/>
  <c r="L119" i="1"/>
  <c r="J119" i="1"/>
  <c r="I119" i="1"/>
  <c r="I151" i="1"/>
  <c r="J151" i="1"/>
  <c r="K151" i="1"/>
  <c r="L151" i="1"/>
  <c r="F79" i="1"/>
  <c r="D83" i="1" l="1"/>
  <c r="G111" i="1"/>
  <c r="G117" i="1"/>
  <c r="G91" i="1"/>
  <c r="G83" i="1"/>
  <c r="G78" i="1" l="1"/>
  <c r="D138" i="1"/>
  <c r="E83" i="1"/>
  <c r="L106" i="1"/>
  <c r="K106" i="1"/>
  <c r="J106" i="1"/>
  <c r="I106" i="1"/>
  <c r="D91" i="1"/>
  <c r="D78" i="1" s="1"/>
  <c r="C115" i="1"/>
  <c r="C111" i="1" s="1"/>
  <c r="K105" i="1"/>
  <c r="L105" i="1"/>
  <c r="J105" i="1"/>
  <c r="I105" i="1"/>
  <c r="L104" i="1"/>
  <c r="K104" i="1"/>
  <c r="J104" i="1"/>
  <c r="I104" i="1"/>
  <c r="F156" i="1"/>
  <c r="L145" i="1"/>
  <c r="L146" i="1"/>
  <c r="L143" i="1"/>
  <c r="K145" i="1"/>
  <c r="K146" i="1"/>
  <c r="K143" i="1"/>
  <c r="J145" i="1"/>
  <c r="J146" i="1"/>
  <c r="J143" i="1"/>
  <c r="L149" i="1"/>
  <c r="K149" i="1"/>
  <c r="J149" i="1"/>
  <c r="I149" i="1"/>
  <c r="I145" i="1"/>
  <c r="I146" i="1"/>
  <c r="I143" i="1"/>
  <c r="I140" i="1"/>
  <c r="E97" i="1" l="1"/>
  <c r="L166" i="1"/>
  <c r="K166" i="1"/>
  <c r="J166" i="1"/>
  <c r="I166" i="1"/>
  <c r="I162" i="1"/>
  <c r="I163" i="1"/>
  <c r="J162" i="1"/>
  <c r="J163" i="1"/>
  <c r="K162" i="1"/>
  <c r="K163" i="1"/>
  <c r="L162" i="1"/>
  <c r="L163" i="1"/>
  <c r="L160" i="1"/>
  <c r="K160" i="1"/>
  <c r="J160" i="1"/>
  <c r="I160" i="1"/>
  <c r="D167" i="1"/>
  <c r="G156" i="1"/>
  <c r="G155" i="1" s="1"/>
  <c r="E156" i="1"/>
  <c r="D156" i="1"/>
  <c r="C156" i="1"/>
  <c r="C155" i="1" s="1"/>
  <c r="D155" i="1"/>
  <c r="E155" i="1"/>
  <c r="F155" i="1"/>
  <c r="K132" i="1"/>
  <c r="J131" i="1"/>
  <c r="J129" i="1"/>
  <c r="J128" i="1"/>
  <c r="L135" i="1"/>
  <c r="K135" i="1"/>
  <c r="J135" i="1"/>
  <c r="I135" i="1"/>
  <c r="I131" i="1"/>
  <c r="I132" i="1"/>
  <c r="J132" i="1"/>
  <c r="K131" i="1"/>
  <c r="L131" i="1"/>
  <c r="L132" i="1"/>
  <c r="L129" i="1"/>
  <c r="K129" i="1"/>
  <c r="I129" i="1"/>
  <c r="C138" i="1"/>
  <c r="C125" i="1"/>
  <c r="L126" i="1"/>
  <c r="J126" i="1"/>
  <c r="F14" i="1"/>
  <c r="D36" i="1"/>
  <c r="E36" i="1"/>
  <c r="F36" i="1"/>
  <c r="G36" i="1"/>
  <c r="C36" i="1"/>
  <c r="L38" i="1"/>
  <c r="J38" i="1"/>
  <c r="I38" i="1"/>
  <c r="H38" i="1"/>
  <c r="C27" i="1"/>
  <c r="C14" i="1"/>
  <c r="H182" i="1"/>
  <c r="F185" i="1"/>
  <c r="G185" i="1"/>
  <c r="D185" i="1"/>
  <c r="E185" i="1"/>
  <c r="C185" i="1"/>
  <c r="D177" i="1"/>
  <c r="C177" i="1"/>
  <c r="G184" i="1"/>
  <c r="C186" i="1"/>
  <c r="F186" i="1"/>
  <c r="E186" i="1"/>
  <c r="D186" i="1"/>
  <c r="G186" i="1"/>
  <c r="K12" i="1"/>
  <c r="J12" i="1"/>
  <c r="I12" i="1"/>
  <c r="L12" i="1"/>
  <c r="L15" i="1"/>
  <c r="L18" i="1"/>
  <c r="L20" i="1"/>
  <c r="L21" i="1"/>
  <c r="L24" i="1"/>
  <c r="L25" i="1"/>
  <c r="L26" i="1"/>
  <c r="L27" i="1"/>
  <c r="L30" i="1"/>
  <c r="L31" i="1"/>
  <c r="L32" i="1"/>
  <c r="L34" i="1"/>
  <c r="L35" i="1"/>
  <c r="L37" i="1"/>
  <c r="L41" i="1"/>
  <c r="L43" i="1"/>
  <c r="L44" i="1"/>
  <c r="L46" i="1"/>
  <c r="L48" i="1"/>
  <c r="D40" i="1"/>
  <c r="E40" i="1"/>
  <c r="F40" i="1"/>
  <c r="G40" i="1"/>
  <c r="D33" i="1"/>
  <c r="E33" i="1"/>
  <c r="F33" i="1"/>
  <c r="G33" i="1"/>
  <c r="D29" i="1"/>
  <c r="E29" i="1"/>
  <c r="F29" i="1"/>
  <c r="G29" i="1"/>
  <c r="D23" i="1"/>
  <c r="E23" i="1"/>
  <c r="F23" i="1"/>
  <c r="F22" i="1" s="1"/>
  <c r="G23" i="1"/>
  <c r="D19" i="1"/>
  <c r="E19" i="1"/>
  <c r="F19" i="1"/>
  <c r="G19" i="1"/>
  <c r="D17" i="1"/>
  <c r="E17" i="1"/>
  <c r="F17" i="1"/>
  <c r="G17" i="1"/>
  <c r="D14" i="1"/>
  <c r="D13" i="1" s="1"/>
  <c r="E14" i="1"/>
  <c r="E13" i="1" s="1"/>
  <c r="G14" i="1"/>
  <c r="L14" i="1" s="1"/>
  <c r="F13" i="1"/>
  <c r="G13" i="1"/>
  <c r="D11" i="1"/>
  <c r="E11" i="1"/>
  <c r="F11" i="1"/>
  <c r="G11" i="1"/>
  <c r="I11" i="1" s="1"/>
  <c r="D9" i="1"/>
  <c r="D8" i="1" s="1"/>
  <c r="E9" i="1"/>
  <c r="E8" i="1" s="1"/>
  <c r="F9" i="1"/>
  <c r="F8" i="1" s="1"/>
  <c r="G9" i="1"/>
  <c r="G8" i="1" s="1"/>
  <c r="L11" i="1" l="1"/>
  <c r="G16" i="1"/>
  <c r="G7" i="1" s="1"/>
  <c r="L17" i="1"/>
  <c r="E22" i="1"/>
  <c r="E16" i="1"/>
  <c r="E7" i="1" s="1"/>
  <c r="L40" i="1"/>
  <c r="G22" i="1"/>
  <c r="L33" i="1"/>
  <c r="L29" i="1"/>
  <c r="L23" i="1"/>
  <c r="L19" i="1"/>
  <c r="L13" i="1"/>
  <c r="K11" i="1"/>
  <c r="F16" i="1"/>
  <c r="D22" i="1"/>
  <c r="D16" i="1"/>
  <c r="D7" i="1" s="1"/>
  <c r="J11" i="1"/>
  <c r="C9" i="1"/>
  <c r="C29" i="1"/>
  <c r="C23" i="1"/>
  <c r="C33" i="1"/>
  <c r="K35" i="1"/>
  <c r="J35" i="1"/>
  <c r="I35" i="1"/>
  <c r="C11" i="1"/>
  <c r="F71" i="1"/>
  <c r="D71" i="1"/>
  <c r="E71" i="1"/>
  <c r="G71" i="1"/>
  <c r="C71" i="1"/>
  <c r="L171" i="1"/>
  <c r="K171" i="1"/>
  <c r="J171" i="1"/>
  <c r="I171" i="1"/>
  <c r="G170" i="1"/>
  <c r="F170" i="1"/>
  <c r="E170" i="1"/>
  <c r="D170" i="1"/>
  <c r="C170" i="1"/>
  <c r="C137" i="1"/>
  <c r="D137" i="1"/>
  <c r="I170" i="1" l="1"/>
  <c r="L16" i="1"/>
  <c r="E6" i="1"/>
  <c r="G6" i="1"/>
  <c r="F7" i="1"/>
  <c r="L7" i="1" s="1"/>
  <c r="D6" i="1"/>
  <c r="L170" i="1"/>
  <c r="K170" i="1"/>
  <c r="J170" i="1"/>
  <c r="L118" i="1"/>
  <c r="K118" i="1"/>
  <c r="J118" i="1"/>
  <c r="I118" i="1"/>
  <c r="D97" i="1"/>
  <c r="F97" i="1"/>
  <c r="G97" i="1"/>
  <c r="C97" i="1"/>
  <c r="L110" i="1"/>
  <c r="K110" i="1"/>
  <c r="J110" i="1"/>
  <c r="I110" i="1"/>
  <c r="L108" i="1"/>
  <c r="K108" i="1"/>
  <c r="J108" i="1"/>
  <c r="I108" i="1"/>
  <c r="L107" i="1"/>
  <c r="K107" i="1"/>
  <c r="J107" i="1"/>
  <c r="I107" i="1"/>
  <c r="L103" i="1"/>
  <c r="K103" i="1"/>
  <c r="J103" i="1"/>
  <c r="I103" i="1"/>
  <c r="L102" i="1"/>
  <c r="K102" i="1"/>
  <c r="J102" i="1"/>
  <c r="I102" i="1"/>
  <c r="L94" i="1"/>
  <c r="K94" i="1"/>
  <c r="J94" i="1"/>
  <c r="I94" i="1"/>
  <c r="F189" i="1"/>
  <c r="F187" i="1"/>
  <c r="F184" i="1"/>
  <c r="F180" i="1"/>
  <c r="F177" i="1"/>
  <c r="F168" i="1"/>
  <c r="F152" i="1"/>
  <c r="F137" i="1"/>
  <c r="F125" i="1"/>
  <c r="F124" i="1" s="1"/>
  <c r="F78" i="1"/>
  <c r="F52" i="1"/>
  <c r="F47" i="1"/>
  <c r="F45" i="1"/>
  <c r="F42" i="1"/>
  <c r="L10" i="1"/>
  <c r="L55" i="1"/>
  <c r="L54" i="1"/>
  <c r="L53" i="1"/>
  <c r="L9" i="1"/>
  <c r="K46" i="1"/>
  <c r="I46" i="1"/>
  <c r="G45" i="1"/>
  <c r="E45" i="1"/>
  <c r="I45" i="1" s="1"/>
  <c r="D45" i="1"/>
  <c r="C45" i="1"/>
  <c r="K25" i="1"/>
  <c r="J25" i="1"/>
  <c r="I25" i="1"/>
  <c r="F172" i="1" l="1"/>
  <c r="L45" i="1"/>
  <c r="F176" i="1"/>
  <c r="F39" i="1"/>
  <c r="L36" i="1"/>
  <c r="K45" i="1"/>
  <c r="C78" i="1"/>
  <c r="L22" i="1" l="1"/>
  <c r="F6" i="1"/>
  <c r="L122" i="1"/>
  <c r="K122" i="1"/>
  <c r="J122" i="1"/>
  <c r="I122" i="1"/>
  <c r="L90" i="1"/>
  <c r="K90" i="1"/>
  <c r="J90" i="1"/>
  <c r="I90" i="1"/>
  <c r="L82" i="1"/>
  <c r="K82" i="1"/>
  <c r="J82" i="1"/>
  <c r="I82" i="1"/>
  <c r="L60" i="1"/>
  <c r="J60" i="1"/>
  <c r="I60" i="1"/>
  <c r="J32" i="1"/>
  <c r="I32" i="1"/>
  <c r="L6" i="1" l="1"/>
  <c r="F49" i="1"/>
  <c r="I9" i="1"/>
  <c r="I10" i="1"/>
  <c r="I15" i="1"/>
  <c r="I18" i="1"/>
  <c r="I20" i="1"/>
  <c r="I21" i="1"/>
  <c r="I24" i="1"/>
  <c r="I26" i="1"/>
  <c r="I27" i="1"/>
  <c r="I30" i="1"/>
  <c r="I31" i="1"/>
  <c r="I34" i="1"/>
  <c r="I37" i="1"/>
  <c r="I41" i="1"/>
  <c r="I43" i="1"/>
  <c r="I44" i="1"/>
  <c r="I48" i="1"/>
  <c r="K34" i="1"/>
  <c r="J34" i="1"/>
  <c r="I33" i="1"/>
  <c r="J37" i="1"/>
  <c r="E42" i="1"/>
  <c r="I42" i="1" s="1"/>
  <c r="G42" i="1"/>
  <c r="L42" i="1" s="1"/>
  <c r="D42" i="1"/>
  <c r="C42" i="1"/>
  <c r="L8" i="1"/>
  <c r="K9" i="1"/>
  <c r="K10" i="1"/>
  <c r="K15" i="1"/>
  <c r="K18" i="1"/>
  <c r="K20" i="1"/>
  <c r="K21" i="1"/>
  <c r="K24" i="1"/>
  <c r="K26" i="1"/>
  <c r="K27" i="1"/>
  <c r="K30" i="1"/>
  <c r="K31" i="1"/>
  <c r="K41" i="1"/>
  <c r="J9" i="1"/>
  <c r="J10" i="1"/>
  <c r="J15" i="1"/>
  <c r="J18" i="1"/>
  <c r="J20" i="1"/>
  <c r="J21" i="1"/>
  <c r="J24" i="1"/>
  <c r="J26" i="1"/>
  <c r="J27" i="1"/>
  <c r="J30" i="1"/>
  <c r="J31" i="1"/>
  <c r="J41" i="1"/>
  <c r="J44" i="1"/>
  <c r="J43" i="1"/>
  <c r="K48" i="1"/>
  <c r="G47" i="1"/>
  <c r="E47" i="1"/>
  <c r="D47" i="1"/>
  <c r="D39" i="1" s="1"/>
  <c r="C47" i="1"/>
  <c r="C40" i="1"/>
  <c r="H37" i="1"/>
  <c r="I36" i="1"/>
  <c r="C19" i="1"/>
  <c r="C17" i="1"/>
  <c r="C13" i="1"/>
  <c r="C8" i="1"/>
  <c r="E39" i="1" l="1"/>
  <c r="C39" i="1"/>
  <c r="G39" i="1"/>
  <c r="L39" i="1" s="1"/>
  <c r="L47" i="1"/>
  <c r="F174" i="1"/>
  <c r="I40" i="1"/>
  <c r="I47" i="1"/>
  <c r="I29" i="1"/>
  <c r="I23" i="1"/>
  <c r="I19" i="1"/>
  <c r="I13" i="1"/>
  <c r="I8" i="1"/>
  <c r="C22" i="1"/>
  <c r="I17" i="1"/>
  <c r="I14" i="1"/>
  <c r="J33" i="1"/>
  <c r="K33" i="1"/>
  <c r="J36" i="1"/>
  <c r="K14" i="1"/>
  <c r="K8" i="1"/>
  <c r="K13" i="1"/>
  <c r="K17" i="1"/>
  <c r="K19" i="1"/>
  <c r="K23" i="1"/>
  <c r="K29" i="1"/>
  <c r="K40" i="1"/>
  <c r="J40" i="1"/>
  <c r="J29" i="1"/>
  <c r="J13" i="1"/>
  <c r="J23" i="1"/>
  <c r="J19" i="1"/>
  <c r="J17" i="1"/>
  <c r="J14" i="1"/>
  <c r="J8" i="1"/>
  <c r="G49" i="1"/>
  <c r="L49" i="1" s="1"/>
  <c r="D49" i="1"/>
  <c r="C16" i="1"/>
  <c r="C7" i="1" s="1"/>
  <c r="K47" i="1"/>
  <c r="H36" i="1"/>
  <c r="K42" i="1"/>
  <c r="H12" i="1" l="1"/>
  <c r="H11" i="1"/>
  <c r="E49" i="1"/>
  <c r="I16" i="1"/>
  <c r="I39" i="1"/>
  <c r="I22" i="1"/>
  <c r="C6" i="1"/>
  <c r="C49" i="1" s="1"/>
  <c r="K39" i="1"/>
  <c r="J39" i="1"/>
  <c r="K22" i="1"/>
  <c r="J22" i="1"/>
  <c r="K16" i="1"/>
  <c r="J16" i="1"/>
  <c r="I6" i="1" l="1"/>
  <c r="H35" i="1"/>
  <c r="K6" i="1"/>
  <c r="I7" i="1"/>
  <c r="K7" i="1"/>
  <c r="J7" i="1"/>
  <c r="J6" i="1"/>
  <c r="E187" i="1"/>
  <c r="H32" i="1" l="1"/>
  <c r="J46" i="1"/>
  <c r="H46" i="1"/>
  <c r="H25" i="1"/>
  <c r="H45" i="1"/>
  <c r="J45" i="1"/>
  <c r="I49" i="1"/>
  <c r="C52" i="1"/>
  <c r="I188" i="1"/>
  <c r="I186" i="1"/>
  <c r="I185" i="1"/>
  <c r="I175" i="1"/>
  <c r="I169" i="1"/>
  <c r="I167" i="1"/>
  <c r="I161" i="1"/>
  <c r="I159" i="1"/>
  <c r="I164" i="1"/>
  <c r="I157" i="1"/>
  <c r="I156" i="1"/>
  <c r="I154" i="1"/>
  <c r="I153" i="1"/>
  <c r="I150" i="1"/>
  <c r="I144" i="1"/>
  <c r="I142" i="1"/>
  <c r="I147" i="1"/>
  <c r="I139" i="1"/>
  <c r="I136" i="1"/>
  <c r="I130" i="1"/>
  <c r="I128" i="1"/>
  <c r="I133" i="1"/>
  <c r="I126" i="1"/>
  <c r="I123" i="1"/>
  <c r="I121" i="1"/>
  <c r="I117" i="1"/>
  <c r="I116" i="1"/>
  <c r="I115" i="1"/>
  <c r="I114" i="1"/>
  <c r="I113" i="1"/>
  <c r="I111" i="1"/>
  <c r="I100" i="1"/>
  <c r="I98" i="1"/>
  <c r="I96" i="1"/>
  <c r="I93" i="1"/>
  <c r="I89" i="1"/>
  <c r="I88" i="1"/>
  <c r="I87" i="1"/>
  <c r="I86" i="1"/>
  <c r="I85" i="1"/>
  <c r="I83" i="1"/>
  <c r="I81" i="1"/>
  <c r="I79" i="1"/>
  <c r="I77" i="1"/>
  <c r="I75" i="1"/>
  <c r="I73" i="1"/>
  <c r="I70" i="1"/>
  <c r="I69" i="1"/>
  <c r="I68" i="1"/>
  <c r="I66" i="1"/>
  <c r="I65" i="1"/>
  <c r="I63" i="1"/>
  <c r="I62" i="1"/>
  <c r="I61" i="1"/>
  <c r="I58" i="1"/>
  <c r="I57" i="1"/>
  <c r="I55" i="1"/>
  <c r="I54" i="1"/>
  <c r="I53" i="1"/>
  <c r="D52" i="1"/>
  <c r="D184" i="1"/>
  <c r="I71" i="1" l="1"/>
  <c r="K89" i="1"/>
  <c r="E184" i="1"/>
  <c r="E78" i="1" l="1"/>
  <c r="I78" i="1" s="1"/>
  <c r="I91" i="1"/>
  <c r="K91" i="1"/>
  <c r="J91" i="1"/>
  <c r="L91" i="1"/>
  <c r="E125" i="1"/>
  <c r="E189" i="1" l="1"/>
  <c r="H34" i="1" l="1"/>
  <c r="H33" i="1"/>
  <c r="H42" i="1"/>
  <c r="H26" i="1"/>
  <c r="H44" i="1"/>
  <c r="H43" i="1"/>
  <c r="H48" i="1"/>
  <c r="H41" i="1"/>
  <c r="H30" i="1"/>
  <c r="H27" i="1"/>
  <c r="H24" i="1"/>
  <c r="H20" i="1"/>
  <c r="H18" i="1"/>
  <c r="H15" i="1"/>
  <c r="H9" i="1"/>
  <c r="H31" i="1"/>
  <c r="H21" i="1"/>
  <c r="H10" i="1"/>
  <c r="H8" i="1"/>
  <c r="H14" i="1"/>
  <c r="H16" i="1"/>
  <c r="H23" i="1"/>
  <c r="H47" i="1"/>
  <c r="H17" i="1"/>
  <c r="H13" i="1"/>
  <c r="H7" i="1"/>
  <c r="H19" i="1"/>
  <c r="H40" i="1"/>
  <c r="H29" i="1"/>
  <c r="H39" i="1"/>
  <c r="H22" i="1"/>
  <c r="H6" i="1"/>
  <c r="J48" i="1"/>
  <c r="J42" i="1"/>
  <c r="J47" i="1"/>
  <c r="H49" i="1"/>
  <c r="K49" i="1"/>
  <c r="J49" i="1"/>
  <c r="J130" i="1" l="1"/>
  <c r="K130" i="1"/>
  <c r="L130" i="1"/>
  <c r="D187" i="1" l="1"/>
  <c r="G187" i="1"/>
  <c r="D189" i="1"/>
  <c r="G189" i="1"/>
  <c r="I189" i="1" s="1"/>
  <c r="L188" i="1"/>
  <c r="K188" i="1"/>
  <c r="J188" i="1"/>
  <c r="L185" i="1"/>
  <c r="K185" i="1"/>
  <c r="J185" i="1"/>
  <c r="C184" i="1"/>
  <c r="C187" i="1"/>
  <c r="C189" i="1"/>
  <c r="E52" i="1"/>
  <c r="G52" i="1"/>
  <c r="L69" i="1"/>
  <c r="L167" i="1"/>
  <c r="K167" i="1"/>
  <c r="J167" i="1"/>
  <c r="L161" i="1"/>
  <c r="K161" i="1"/>
  <c r="J161" i="1"/>
  <c r="L159" i="1"/>
  <c r="K159" i="1"/>
  <c r="J159" i="1"/>
  <c r="L136" i="1"/>
  <c r="K136" i="1"/>
  <c r="J136" i="1"/>
  <c r="L128" i="1"/>
  <c r="K128" i="1"/>
  <c r="L70" i="1"/>
  <c r="K70" i="1"/>
  <c r="J70" i="1"/>
  <c r="L68" i="1"/>
  <c r="K68" i="1"/>
  <c r="J68" i="1"/>
  <c r="J52" i="1" l="1"/>
  <c r="K186" i="1"/>
  <c r="I184" i="1"/>
  <c r="I52" i="1"/>
  <c r="I187" i="1"/>
  <c r="I155" i="1"/>
  <c r="L186" i="1"/>
  <c r="J186" i="1"/>
  <c r="K189" i="1"/>
  <c r="K187" i="1"/>
  <c r="L187" i="1"/>
  <c r="J187" i="1"/>
  <c r="K184" i="1"/>
  <c r="L184" i="1"/>
  <c r="J184" i="1"/>
  <c r="J69" i="1"/>
  <c r="J189" i="1"/>
  <c r="L189" i="1"/>
  <c r="K69" i="1"/>
  <c r="L88" i="1" l="1"/>
  <c r="J88" i="1"/>
  <c r="K88" i="1"/>
  <c r="L87" i="1"/>
  <c r="J87" i="1"/>
  <c r="K87" i="1"/>
  <c r="J61" i="1" l="1"/>
  <c r="L61" i="1"/>
  <c r="J77" i="1" l="1"/>
  <c r="K77" i="1"/>
  <c r="L77" i="1"/>
  <c r="E138" i="1" l="1"/>
  <c r="E137" i="1" s="1"/>
  <c r="G138" i="1"/>
  <c r="G137" i="1" s="1"/>
  <c r="K137" i="1" s="1"/>
  <c r="J83" i="1"/>
  <c r="D125" i="1"/>
  <c r="D124" i="1" s="1"/>
  <c r="E124" i="1"/>
  <c r="G125" i="1"/>
  <c r="I125" i="1" s="1"/>
  <c r="C124" i="1"/>
  <c r="J53" i="1"/>
  <c r="K53" i="1"/>
  <c r="J54" i="1"/>
  <c r="K54" i="1"/>
  <c r="J55" i="1"/>
  <c r="K55" i="1"/>
  <c r="J58" i="1"/>
  <c r="K58" i="1"/>
  <c r="L58" i="1"/>
  <c r="J62" i="1"/>
  <c r="K62" i="1"/>
  <c r="L62" i="1"/>
  <c r="J63" i="1"/>
  <c r="K63" i="1"/>
  <c r="L63" i="1"/>
  <c r="J65" i="1"/>
  <c r="K65" i="1"/>
  <c r="L65" i="1"/>
  <c r="J66" i="1"/>
  <c r="K66" i="1"/>
  <c r="L66" i="1"/>
  <c r="J73" i="1"/>
  <c r="K73" i="1"/>
  <c r="L73" i="1"/>
  <c r="J79" i="1"/>
  <c r="K79" i="1"/>
  <c r="L79" i="1"/>
  <c r="J81" i="1"/>
  <c r="K81" i="1"/>
  <c r="L81" i="1"/>
  <c r="K83" i="1"/>
  <c r="L83" i="1"/>
  <c r="J85" i="1"/>
  <c r="K85" i="1"/>
  <c r="L85" i="1"/>
  <c r="J86" i="1"/>
  <c r="K86" i="1"/>
  <c r="L86" i="1"/>
  <c r="J89" i="1"/>
  <c r="L89" i="1"/>
  <c r="J96" i="1"/>
  <c r="K96" i="1"/>
  <c r="L96" i="1"/>
  <c r="J121" i="1"/>
  <c r="L121" i="1"/>
  <c r="J123" i="1"/>
  <c r="K123" i="1"/>
  <c r="L123" i="1"/>
  <c r="J98" i="1"/>
  <c r="K98" i="1"/>
  <c r="L98" i="1"/>
  <c r="J100" i="1"/>
  <c r="K100" i="1"/>
  <c r="L100" i="1"/>
  <c r="J111" i="1"/>
  <c r="K111" i="1"/>
  <c r="L111" i="1"/>
  <c r="J113" i="1"/>
  <c r="K113" i="1"/>
  <c r="L113" i="1"/>
  <c r="J114" i="1"/>
  <c r="K114" i="1"/>
  <c r="L114" i="1"/>
  <c r="J115" i="1"/>
  <c r="K115" i="1"/>
  <c r="L115" i="1"/>
  <c r="J116" i="1"/>
  <c r="K116" i="1"/>
  <c r="L116" i="1"/>
  <c r="J117" i="1"/>
  <c r="K117" i="1"/>
  <c r="L117" i="1"/>
  <c r="K126" i="1"/>
  <c r="J133" i="1"/>
  <c r="K133" i="1"/>
  <c r="L133" i="1"/>
  <c r="J142" i="1"/>
  <c r="K142" i="1"/>
  <c r="L142" i="1"/>
  <c r="J144" i="1"/>
  <c r="K144" i="1"/>
  <c r="L144" i="1"/>
  <c r="J150" i="1"/>
  <c r="K150" i="1"/>
  <c r="L150" i="1"/>
  <c r="J139" i="1"/>
  <c r="K139" i="1"/>
  <c r="L139" i="1"/>
  <c r="J147" i="1"/>
  <c r="K147" i="1"/>
  <c r="L147" i="1"/>
  <c r="J153" i="1"/>
  <c r="K153" i="1"/>
  <c r="L153" i="1"/>
  <c r="J154" i="1"/>
  <c r="L154" i="1"/>
  <c r="J156" i="1"/>
  <c r="K156" i="1"/>
  <c r="L156" i="1"/>
  <c r="J157" i="1"/>
  <c r="K157" i="1"/>
  <c r="L157" i="1"/>
  <c r="J164" i="1"/>
  <c r="K164" i="1"/>
  <c r="L164" i="1"/>
  <c r="J169" i="1"/>
  <c r="K169" i="1"/>
  <c r="L169" i="1"/>
  <c r="J75" i="1"/>
  <c r="K75" i="1"/>
  <c r="L75" i="1"/>
  <c r="J93" i="1"/>
  <c r="K93" i="1"/>
  <c r="L93" i="1"/>
  <c r="J57" i="1"/>
  <c r="K57" i="1"/>
  <c r="L57" i="1"/>
  <c r="E152" i="1"/>
  <c r="G152" i="1"/>
  <c r="C152" i="1"/>
  <c r="D168" i="1"/>
  <c r="E168" i="1"/>
  <c r="G168" i="1"/>
  <c r="C168" i="1"/>
  <c r="C172" i="1" l="1"/>
  <c r="D172" i="1"/>
  <c r="J138" i="1"/>
  <c r="E172" i="1"/>
  <c r="I138" i="1"/>
  <c r="I168" i="1"/>
  <c r="I152" i="1"/>
  <c r="I97" i="1"/>
  <c r="K125" i="1"/>
  <c r="L138" i="1"/>
  <c r="J125" i="1"/>
  <c r="G124" i="1"/>
  <c r="K124" i="1" s="1"/>
  <c r="K138" i="1"/>
  <c r="L125" i="1"/>
  <c r="L168" i="1"/>
  <c r="J168" i="1"/>
  <c r="L155" i="1"/>
  <c r="J155" i="1"/>
  <c r="L152" i="1"/>
  <c r="J152" i="1"/>
  <c r="L97" i="1"/>
  <c r="J97" i="1"/>
  <c r="L78" i="1"/>
  <c r="J78" i="1"/>
  <c r="L71" i="1"/>
  <c r="J71" i="1"/>
  <c r="K168" i="1"/>
  <c r="K155" i="1"/>
  <c r="K152" i="1"/>
  <c r="K97" i="1"/>
  <c r="K78" i="1"/>
  <c r="K71" i="1"/>
  <c r="I124" i="1" l="1"/>
  <c r="G172" i="1"/>
  <c r="H101" i="1" s="1"/>
  <c r="J124" i="1"/>
  <c r="I137" i="1"/>
  <c r="J137" i="1"/>
  <c r="L137" i="1"/>
  <c r="L124" i="1"/>
  <c r="H151" i="1" l="1"/>
  <c r="H119" i="1"/>
  <c r="H105" i="1"/>
  <c r="H106" i="1"/>
  <c r="H104" i="1"/>
  <c r="H145" i="1"/>
  <c r="H149" i="1"/>
  <c r="H146" i="1"/>
  <c r="H140" i="1"/>
  <c r="H143" i="1"/>
  <c r="H162" i="1"/>
  <c r="H160" i="1"/>
  <c r="H166" i="1"/>
  <c r="H163" i="1"/>
  <c r="H172" i="1"/>
  <c r="H135" i="1"/>
  <c r="H132" i="1"/>
  <c r="H129" i="1"/>
  <c r="H131" i="1"/>
  <c r="H171" i="1"/>
  <c r="H170" i="1"/>
  <c r="H118" i="1"/>
  <c r="H110" i="1"/>
  <c r="H108" i="1"/>
  <c r="H122" i="1"/>
  <c r="H103" i="1"/>
  <c r="H94" i="1"/>
  <c r="H107" i="1"/>
  <c r="H102" i="1"/>
  <c r="H82" i="1"/>
  <c r="H90" i="1"/>
  <c r="I172" i="1"/>
  <c r="H60" i="1"/>
  <c r="H91" i="1"/>
  <c r="K172" i="1"/>
  <c r="L172" i="1"/>
  <c r="H69" i="1"/>
  <c r="H70" i="1"/>
  <c r="H61" i="1"/>
  <c r="H161" i="1"/>
  <c r="H88" i="1"/>
  <c r="H136" i="1"/>
  <c r="H187" i="1"/>
  <c r="H77" i="1"/>
  <c r="H87" i="1"/>
  <c r="H68" i="1"/>
  <c r="H128" i="1"/>
  <c r="H159" i="1"/>
  <c r="H189" i="1"/>
  <c r="H186" i="1"/>
  <c r="H130" i="1"/>
  <c r="H167" i="1"/>
  <c r="H184" i="1"/>
  <c r="H185" i="1"/>
  <c r="H188" i="1"/>
  <c r="L179" i="1"/>
  <c r="L178" i="1"/>
  <c r="K178" i="1"/>
  <c r="K179" i="1"/>
  <c r="J178" i="1"/>
  <c r="J179" i="1"/>
  <c r="E177" i="1"/>
  <c r="G177" i="1"/>
  <c r="H181" i="1" s="1"/>
  <c r="K52" i="1"/>
  <c r="J172" i="1"/>
  <c r="J177" i="1" l="1"/>
  <c r="H53" i="1"/>
  <c r="H54" i="1"/>
  <c r="H55" i="1"/>
  <c r="H58" i="1"/>
  <c r="H62" i="1"/>
  <c r="H63" i="1"/>
  <c r="H65" i="1"/>
  <c r="H66" i="1"/>
  <c r="H73" i="1"/>
  <c r="H79" i="1"/>
  <c r="H81" i="1"/>
  <c r="H83" i="1"/>
  <c r="H85" i="1"/>
  <c r="H86" i="1"/>
  <c r="H89" i="1"/>
  <c r="H96" i="1"/>
  <c r="H121" i="1"/>
  <c r="H123" i="1"/>
  <c r="H98" i="1"/>
  <c r="H100" i="1"/>
  <c r="H111" i="1"/>
  <c r="H113" i="1"/>
  <c r="H114" i="1"/>
  <c r="H115" i="1"/>
  <c r="H116" i="1"/>
  <c r="H117" i="1"/>
  <c r="H125" i="1"/>
  <c r="H126" i="1"/>
  <c r="H133" i="1"/>
  <c r="H142" i="1"/>
  <c r="H144" i="1"/>
  <c r="H150" i="1"/>
  <c r="H138" i="1"/>
  <c r="H139" i="1"/>
  <c r="H147" i="1"/>
  <c r="H153" i="1"/>
  <c r="H154" i="1"/>
  <c r="H156" i="1"/>
  <c r="H157" i="1"/>
  <c r="H164" i="1"/>
  <c r="H169" i="1"/>
  <c r="H75" i="1"/>
  <c r="H93" i="1"/>
  <c r="H57" i="1"/>
  <c r="H168" i="1"/>
  <c r="H155" i="1"/>
  <c r="H152" i="1"/>
  <c r="H137" i="1"/>
  <c r="H124" i="1"/>
  <c r="H97" i="1"/>
  <c r="H78" i="1"/>
  <c r="H71" i="1"/>
  <c r="L177" i="1"/>
  <c r="H52" i="1"/>
  <c r="L52" i="1"/>
  <c r="J182" i="1" l="1"/>
  <c r="K182" i="1"/>
  <c r="L182" i="1"/>
  <c r="C174" i="1"/>
  <c r="C180" i="1"/>
  <c r="C176" i="1" s="1"/>
  <c r="D180" i="1" l="1"/>
  <c r="D176" i="1" s="1"/>
  <c r="D174" i="1"/>
  <c r="E174" i="1"/>
  <c r="E180" i="1"/>
  <c r="E176" i="1" s="1"/>
  <c r="L181" i="1" l="1"/>
  <c r="G174" i="1" l="1"/>
  <c r="G180" i="1" l="1"/>
  <c r="J181" i="1"/>
  <c r="L174" i="1"/>
  <c r="J174" i="1"/>
  <c r="H174" i="1"/>
  <c r="K174" i="1"/>
  <c r="L180" i="1" l="1"/>
  <c r="K180" i="1"/>
  <c r="J180" i="1"/>
  <c r="G176" i="1"/>
  <c r="I176" i="1" s="1"/>
  <c r="J176" i="1" l="1"/>
  <c r="H180" i="1"/>
  <c r="K176" i="1"/>
  <c r="H176" i="1"/>
  <c r="L176" i="1"/>
</calcChain>
</file>

<file path=xl/sharedStrings.xml><?xml version="1.0" encoding="utf-8"?>
<sst xmlns="http://schemas.openxmlformats.org/spreadsheetml/2006/main" count="289" uniqueCount="239">
  <si>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</si>
  <si>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</si>
  <si>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</si>
  <si>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</si>
  <si>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</si>
  <si>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</si>
  <si>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</si>
  <si>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</si>
  <si>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</si>
  <si>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</si>
  <si>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</si>
  <si>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</si>
  <si>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</si>
  <si>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</si>
  <si>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</si>
  <si>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</si>
  <si>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</si>
  <si>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</si>
  <si>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</si>
  <si>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</si>
  <si>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</si>
  <si>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</si>
  <si>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</si>
  <si>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</si>
  <si>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</si>
  <si>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</si>
  <si>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</si>
  <si>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</si>
  <si>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</si>
  <si>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</si>
  <si>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</si>
  <si>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</si>
  <si>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</si>
  <si>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182 1 06 01030 10 0000 110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</si>
  <si>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</si>
  <si>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</si>
  <si>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</si>
  <si>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</si>
  <si>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</si>
  <si>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</si>
  <si>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</si>
  <si>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000 2 02 01000 00 0000 151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</si>
  <si>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</si>
  <si>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</si>
  <si>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</si>
  <si>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</si>
  <si>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 xml:space="preserve">Дотации бюджетам субъектов Российской Федерации и муниципальных образований 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</si>
  <si>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</si>
  <si>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</si>
  <si>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</si>
  <si>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</si>
  <si>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</si>
  <si>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Дотации бюджетам поселений на выравнивание бюджетной обеспеченности за счет субвенции бюджету муниципального района на исполнение государственных полномочий по расчету и предоставлению дотаций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</si>
  <si>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</si>
  <si>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</si>
  <si>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</si>
  <si>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</si>
  <si>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</si>
  <si>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</si>
  <si>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</si>
  <si>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</si>
  <si>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</si>
  <si>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</si>
  <si>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</si>
  <si>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</si>
  <si>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0800</t>
  </si>
  <si>
    <t>Культура</t>
  </si>
  <si>
    <t>0801</t>
  </si>
  <si>
    <t>1001</t>
  </si>
  <si>
    <t>Пенсионное обеспечение</t>
  </si>
  <si>
    <t xml:space="preserve">Возврат остатков субсидий, субвенций и иных межбюджетных трансфертов, имеющих целевое назначение, прошлых лет, из бюджетов поселений </t>
  </si>
  <si>
    <t>148 2 02 01001 10 0002 151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</si>
  <si>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</si>
  <si>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</si>
  <si>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</si>
  <si>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 xml:space="preserve">Первоначальный  годовой план 
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</si>
  <si>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</si>
  <si>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</si>
  <si>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</si>
  <si>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</si>
  <si>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</si>
  <si>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</si>
  <si>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</si>
  <si>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</si>
  <si>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</si>
  <si>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</si>
  <si>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</si>
  <si>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</si>
  <si>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</si>
  <si>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</si>
  <si>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</si>
  <si>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</si>
  <si>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</si>
  <si>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</si>
  <si>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</si>
  <si>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</si>
  <si>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</si>
  <si>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</si>
  <si>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</si>
  <si>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</si>
  <si>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</si>
  <si>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</si>
  <si>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</si>
  <si>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ремонт автомобильных дорог общего пользования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</si>
  <si>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</si>
  <si>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</si>
  <si>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озеленение</t>
  </si>
  <si>
    <t>- организация и содержание мест захоронения</t>
  </si>
  <si>
    <t>- прочие мероприятия по благоустройству городских округов и поселений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</si>
  <si>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</si>
  <si>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</si>
  <si>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</si>
  <si>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</si>
  <si>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</si>
  <si>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</si>
  <si>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</si>
  <si>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</si>
  <si>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</si>
  <si>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</si>
  <si>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</si>
  <si>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</si>
  <si>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</si>
  <si>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</si>
  <si>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</si>
  <si>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</si>
  <si>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</si>
  <si>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000 2 02 02000 00 0000 151</t>
  </si>
  <si>
    <t>Субсидии бюджетам Российской Федерации и муниципальных образований (межбюджетные субсидии)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</si>
  <si>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</si>
  <si>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</si>
  <si>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148 219 05000 10 0000 151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</si>
  <si>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</si>
  <si>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</si>
  <si>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</si>
  <si>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</si>
  <si>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тыс.рублей</t>
  </si>
  <si>
    <t>182 1 01 02010 01 0000 110</t>
  </si>
  <si>
    <t>0107</t>
  </si>
  <si>
    <t>Обеспечение проведения выборов и референдумов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</si>
  <si>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</si>
  <si>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Субсидия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</si>
  <si>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Субсидия бюджетам поселений области на капитальный ремонт и ремонт автомобильных дорог общего пользования населенных пунктов за счет средств областного дорожного фонда</t>
  </si>
  <si>
    <t>148 2 02 02999 10 0037 151</t>
  </si>
  <si>
    <t>148 2 02 02999 10 0038 151</t>
  </si>
  <si>
    <t>Из них по разделу 0100</t>
  </si>
  <si>
    <t>Из них по разделу 0300</t>
  </si>
  <si>
    <t>Из них по разделу 0400</t>
  </si>
  <si>
    <t>Из них по разделу 0500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</si>
  <si>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</si>
  <si>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</si>
  <si>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</si>
  <si>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</si>
  <si>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</si>
  <si>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</si>
  <si>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</si>
  <si>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161 1 16 33050 10 0000 140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</si>
  <si>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</si>
  <si>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</si>
  <si>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</si>
  <si>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</si>
  <si>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</si>
  <si>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 xml:space="preserve">148 2 02 04999 10 0001 151 </t>
  </si>
  <si>
    <t>Иные межбюджетные трансферты бюджетам поселений из бюджета Энгельсского муниципального района</t>
  </si>
  <si>
    <t>Иные межбюджетные трансферты</t>
  </si>
  <si>
    <t>000 2 02 04000 00 0000 151</t>
  </si>
  <si>
    <t>0104</t>
  </si>
  <si>
    <t xml:space="preserve">- межбюджетные трансферты на осуществление переданных полномочий по решению вопросов местного значения поселений 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</si>
  <si>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</si>
  <si>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</si>
  <si>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</si>
  <si>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2900430, 2900420, 3900430, 3900440</t>
  </si>
  <si>
    <t>0412</t>
  </si>
  <si>
    <t>- межбюджетные трансферты на осуществление переданных полномочий по решению вопросов местного значения поселений по архитектуре и градостроительству</t>
  </si>
  <si>
    <t>- реализация программ</t>
  </si>
  <si>
    <t>- ремонт дворовых территорий многоквартирных домов   (в рамках ВЦП)</t>
  </si>
  <si>
    <t>- замена и модернизация лифтового оборудования  (в рамках МЦП)</t>
  </si>
  <si>
    <t>0502</t>
  </si>
  <si>
    <t>Коммунальное хозяйство</t>
  </si>
  <si>
    <t>Физическая культура, в т.ч.: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</si>
  <si>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</si>
  <si>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</si>
  <si>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</si>
  <si>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</si>
  <si>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100 1 03 02000 00 0000 000</t>
  </si>
  <si>
    <t>119 1 16 51040 02 0000 140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</si>
  <si>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</si>
  <si>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</si>
  <si>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</si>
  <si>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</si>
  <si>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</si>
  <si>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</si>
  <si>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134 1 17 05050 13 0000 180</t>
  </si>
  <si>
    <t>134 1 11 05075 13 0000 120</t>
  </si>
  <si>
    <t>119 1 11 07015 13 0000 120</t>
  </si>
  <si>
    <t>134 1 11 05013 13 0000 120</t>
  </si>
  <si>
    <t>134 1 14 02053 13 0000 410</t>
  </si>
  <si>
    <t>прочие неналоговые доходы бюджетов городских поселений (соц.найм МБУ)</t>
  </si>
  <si>
    <t>104 1 14 06025 13 0000 430</t>
  </si>
  <si>
    <t>134 1 14 06013 13 0000 430</t>
  </si>
  <si>
    <t>Уд. вес
в 2015 г.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</si>
  <si>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</si>
  <si>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</si>
  <si>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</si>
  <si>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Муниципальная программа "Молодежь муниципального образования город Энгельс Энгельсского муниципального района Саратовской области" на 2013- 2015 годы</t>
  </si>
  <si>
    <t>- оплата услуг связи</t>
  </si>
  <si>
    <t xml:space="preserve">- прочие расходы  </t>
  </si>
  <si>
    <t>- Ведомственная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на 2014-2016 годы</t>
  </si>
  <si>
    <t>3701020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</si>
  <si>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</si>
  <si>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</si>
  <si>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3601070</t>
  </si>
  <si>
    <t>- ежемесячные взносы на кап.ремонт жил.фонда</t>
  </si>
  <si>
    <t>- проведение аварийно-восстановительных работ по ликвидации ЧС</t>
  </si>
  <si>
    <t>- содержание жил.помещений (в рамках ВЦП)</t>
  </si>
  <si>
    <t>в т.ч. МБТ на организацию похоронного дела</t>
  </si>
  <si>
    <t>- содержание автомобильных дорог общего пользования (в т.ч. приобр.ОС для содержания дорог)</t>
  </si>
  <si>
    <t>- предотвращения рисков возникновения ЧС  (в рамках МЦП)</t>
  </si>
  <si>
    <t>0804</t>
  </si>
  <si>
    <t>Другие вопросы в области культуры, кинематографии</t>
  </si>
  <si>
    <t>Содержание МБУ</t>
  </si>
  <si>
    <t>Уточненный годовой план 
на 01.07.2015 г.</t>
  </si>
  <si>
    <t>Фактическое
исполнение
на 01.07.2014 г.</t>
  </si>
  <si>
    <t>Фактическое
исполнение
на 01.07.2015 г.</t>
  </si>
  <si>
    <t>Процент 
исполнения плана 
1 полугодия</t>
  </si>
  <si>
    <t>Анализ исполнения  бюджета муниципального образования город Энгельс за 1 полугодие 2015 года</t>
  </si>
  <si>
    <t>- межбюджетные трансферты на осуществление переданных полномочий по решению вопросов местного значения поселений по земельному контролю, а также в сфере арихитектуры и градостроительства</t>
  </si>
  <si>
    <t>План  1 полугодия
на 01.07.2015 г.</t>
  </si>
  <si>
    <t>Реализация программ</t>
  </si>
  <si>
    <t>612, 244
3501030, 3701020</t>
  </si>
  <si>
    <t xml:space="preserve">- ремонт дворовых территорий многоквартирных домов, проездов к дворовым территориям многоквартирных домов населенных пунктов </t>
  </si>
  <si>
    <t>- капитальный ремонт жилого фонда за счет средств  бюджета</t>
  </si>
  <si>
    <t>182 1 06 06033 13 0000 110</t>
  </si>
  <si>
    <t>Земельный налог, с физических лиц, обладающих земельным участком, расположенным в границах городских поселений</t>
  </si>
  <si>
    <t>182 1 06 06043 13 0000 110</t>
  </si>
  <si>
    <t xml:space="preserve">Земельный налог с организаций, обладающих земельным участком, расположенным в границах городских поселений </t>
  </si>
  <si>
    <t>000 1 11 09045 13 0000 120</t>
  </si>
  <si>
    <t>1 13 02000 00 0000 130</t>
  </si>
  <si>
    <t>Доходы от компенсации затрат государства</t>
  </si>
  <si>
    <t>Сравнение исполнения на 01.07.2014 и 2015 гг.      (гр.7-гр.6)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</si>
</sst>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167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4" fontId="3" fillId="0" borderId="1" xfId="3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2" fillId="0" borderId="1" xfId="0" applyNumberFormat="1" applyFont="1" applyFill="1" applyBorder="1" applyAlignment="1">
      <alignment horizontal="justify" vertical="center"/>
    </xf>
    <xf numFmtId="167" fontId="3" fillId="0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1" xfId="4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3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 applyProtection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Continuous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2" fillId="2" borderId="1" xfId="0" applyNumberFormat="1" applyFont="1" applyFill="1" applyBorder="1" applyAlignment="1">
      <alignment horizontal="right" vertical="center"/>
    </xf>
    <xf numFmtId="165" fontId="2" fillId="2" borderId="2" xfId="3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167" fontId="11" fillId="4" borderId="1" xfId="0" applyNumberFormat="1" applyFont="1" applyFill="1" applyBorder="1" applyAlignment="1" applyProtection="1">
      <alignment horizontal="right" vertical="center"/>
    </xf>
    <xf numFmtId="49" fontId="8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167" fontId="8" fillId="2" borderId="1" xfId="0" applyNumberFormat="1" applyFont="1" applyFill="1" applyBorder="1" applyAlignment="1">
      <alignment horizontal="right" vertical="center" wrapText="1"/>
    </xf>
    <xf numFmtId="49" fontId="8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justify" vertical="center"/>
    </xf>
    <xf numFmtId="167" fontId="3" fillId="6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49" fontId="3" fillId="6" borderId="1" xfId="0" applyNumberFormat="1" applyFont="1" applyFill="1" applyBorder="1" applyAlignment="1">
      <alignment horizontal="center" vertical="center"/>
    </xf>
    <xf numFmtId="165" fontId="8" fillId="3" borderId="1" xfId="3" applyNumberFormat="1" applyFont="1" applyFill="1" applyBorder="1" applyAlignment="1">
      <alignment horizontal="right" vertical="center"/>
    </xf>
    <xf numFmtId="16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167" fontId="3" fillId="7" borderId="1" xfId="0" applyNumberFormat="1" applyFont="1" applyFill="1" applyBorder="1" applyAlignment="1">
      <alignment horizontal="right" vertical="center"/>
    </xf>
    <xf numFmtId="165" fontId="9" fillId="3" borderId="1" xfId="3" applyNumberFormat="1" applyFont="1" applyFill="1" applyBorder="1" applyAlignment="1">
      <alignment horizontal="right" vertical="center"/>
    </xf>
    <xf numFmtId="165" fontId="2" fillId="2" borderId="2" xfId="3" applyNumberFormat="1" applyFont="1" applyFill="1" applyBorder="1" applyAlignment="1">
      <alignment horizontal="right" vertical="center"/>
    </xf>
    <xf numFmtId="165" fontId="11" fillId="2" borderId="1" xfId="0" applyNumberFormat="1" applyFont="1" applyFill="1" applyBorder="1" applyAlignment="1">
      <alignment horizontal="right" vertical="center"/>
    </xf>
    <xf numFmtId="168" fontId="12" fillId="2" borderId="1" xfId="0" applyNumberFormat="1" applyFont="1" applyFill="1" applyBorder="1" applyAlignment="1" applyProtection="1">
      <alignment horizontal="right" vertical="center"/>
    </xf>
    <xf numFmtId="168" fontId="11" fillId="2" borderId="1" xfId="0" applyNumberFormat="1" applyFont="1" applyFill="1" applyBorder="1" applyAlignment="1" applyProtection="1">
      <alignment horizontal="right" vertical="center"/>
    </xf>
    <xf numFmtId="167" fontId="2" fillId="7" borderId="1" xfId="0" applyNumberFormat="1" applyFont="1" applyFill="1" applyBorder="1" applyAlignment="1">
      <alignment horizontal="right" vertical="center"/>
    </xf>
    <xf numFmtId="167" fontId="9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167" fontId="4" fillId="5" borderId="1" xfId="0" applyNumberFormat="1" applyFont="1" applyFill="1" applyBorder="1" applyAlignment="1">
      <alignment horizontal="center" vertical="center" wrapText="1"/>
    </xf>
    <xf numFmtId="3" fontId="18" fillId="5" borderId="1" xfId="0" applyNumberFormat="1" applyFont="1" applyFill="1" applyBorder="1" applyAlignment="1">
      <alignment horizontal="center" vertical="center" wrapText="1"/>
    </xf>
    <xf numFmtId="167" fontId="11" fillId="5" borderId="1" xfId="0" applyNumberFormat="1" applyFont="1" applyFill="1" applyBorder="1" applyAlignment="1" applyProtection="1">
      <alignment horizontal="right" vertical="center"/>
    </xf>
    <xf numFmtId="167" fontId="12" fillId="5" borderId="1" xfId="0" applyNumberFormat="1" applyFont="1" applyFill="1" applyBorder="1" applyAlignment="1" applyProtection="1">
      <alignment horizontal="right" vertical="center"/>
    </xf>
    <xf numFmtId="167" fontId="12" fillId="5" borderId="1" xfId="0" applyNumberFormat="1" applyFont="1" applyFill="1" applyBorder="1" applyAlignment="1" applyProtection="1">
      <alignment horizontal="right" vertical="center"/>
      <protection locked="0"/>
    </xf>
    <xf numFmtId="167" fontId="12" fillId="5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5" borderId="2" xfId="0" applyNumberFormat="1" applyFont="1" applyFill="1" applyBorder="1" applyAlignment="1" applyProtection="1">
      <alignment horizontal="right" vertical="center"/>
    </xf>
    <xf numFmtId="167" fontId="9" fillId="5" borderId="1" xfId="0" applyNumberFormat="1" applyFont="1" applyFill="1" applyBorder="1" applyAlignment="1" applyProtection="1">
      <alignment horizontal="right" vertical="center"/>
    </xf>
    <xf numFmtId="167" fontId="9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8" borderId="1" xfId="0" applyFont="1" applyFill="1" applyBorder="1" applyAlignment="1">
      <alignment horizontal="center" vertical="center" wrapText="1"/>
    </xf>
    <xf numFmtId="167" fontId="12" fillId="8" borderId="1" xfId="0" applyNumberFormat="1" applyFont="1" applyFill="1" applyBorder="1" applyAlignment="1" applyProtection="1">
      <alignment horizontal="right" vertical="center"/>
    </xf>
    <xf numFmtId="167" fontId="12" fillId="8" borderId="1" xfId="0" applyNumberFormat="1" applyFont="1" applyFill="1" applyBorder="1" applyAlignment="1" applyProtection="1">
      <alignment horizontal="right" vertical="center"/>
      <protection locked="0"/>
    </xf>
    <xf numFmtId="167" fontId="12" fillId="8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8" borderId="1" xfId="0" applyNumberFormat="1" applyFont="1" applyFill="1" applyBorder="1" applyAlignment="1" applyProtection="1">
      <alignment horizontal="right" vertical="center"/>
    </xf>
    <xf numFmtId="167" fontId="8" fillId="8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167" fontId="8" fillId="5" borderId="1" xfId="0" applyNumberFormat="1" applyFont="1" applyFill="1" applyBorder="1" applyAlignment="1">
      <alignment horizontal="right" vertical="center"/>
    </xf>
    <xf numFmtId="167" fontId="8" fillId="5" borderId="1" xfId="0" applyNumberFormat="1" applyFont="1" applyFill="1" applyBorder="1" applyAlignment="1">
      <alignment horizontal="right" vertical="center" wrapText="1"/>
    </xf>
    <xf numFmtId="167" fontId="2" fillId="5" borderId="1" xfId="0" applyNumberFormat="1" applyFont="1" applyFill="1" applyBorder="1" applyAlignment="1">
      <alignment horizontal="right" vertical="center"/>
    </xf>
    <xf numFmtId="49" fontId="3" fillId="5" borderId="1" xfId="0" applyNumberFormat="1" applyFont="1" applyFill="1" applyBorder="1" applyAlignment="1">
      <alignment horizontal="justify" vertical="center" wrapText="1"/>
    </xf>
    <xf numFmtId="167" fontId="2" fillId="5" borderId="2" xfId="0" applyNumberFormat="1" applyFont="1" applyFill="1" applyBorder="1" applyAlignment="1">
      <alignment horizontal="right" vertical="center"/>
    </xf>
    <xf numFmtId="167" fontId="9" fillId="5" borderId="1" xfId="0" applyNumberFormat="1" applyFont="1" applyFill="1" applyBorder="1" applyAlignment="1">
      <alignment horizontal="right" vertical="center"/>
    </xf>
    <xf numFmtId="0" fontId="7" fillId="5" borderId="1" xfId="0" applyNumberFormat="1" applyFont="1" applyFill="1" applyBorder="1" applyAlignment="1">
      <alignment horizontal="justify" vertical="center"/>
    </xf>
    <xf numFmtId="167" fontId="3" fillId="8" borderId="1" xfId="0" applyNumberFormat="1" applyFont="1" applyFill="1" applyBorder="1" applyAlignment="1">
      <alignment horizontal="right" vertical="center"/>
    </xf>
    <xf numFmtId="167" fontId="8" fillId="8" borderId="1" xfId="0" applyNumberFormat="1" applyFont="1" applyFill="1" applyBorder="1" applyAlignment="1">
      <alignment horizontal="right" vertical="center"/>
    </xf>
    <xf numFmtId="167" fontId="8" fillId="8" borderId="1" xfId="0" applyNumberFormat="1" applyFont="1" applyFill="1" applyBorder="1" applyAlignment="1">
      <alignment horizontal="right" vertical="center" wrapText="1"/>
    </xf>
    <xf numFmtId="166" fontId="3" fillId="8" borderId="1" xfId="4" applyNumberFormat="1" applyFont="1" applyFill="1" applyBorder="1" applyAlignment="1">
      <alignment vertical="center"/>
    </xf>
    <xf numFmtId="167" fontId="2" fillId="8" borderId="1" xfId="0" applyNumberFormat="1" applyFont="1" applyFill="1" applyBorder="1" applyAlignment="1">
      <alignment horizontal="right" vertical="center"/>
    </xf>
    <xf numFmtId="0" fontId="9" fillId="6" borderId="1" xfId="0" applyNumberFormat="1" applyFont="1" applyFill="1" applyBorder="1" applyAlignment="1">
      <alignment horizontal="justify" vertical="center"/>
    </xf>
    <xf numFmtId="165" fontId="23" fillId="2" borderId="1" xfId="3" applyNumberFormat="1" applyFont="1" applyFill="1" applyBorder="1" applyAlignment="1">
      <alignment horizontal="right" vertical="center"/>
    </xf>
    <xf numFmtId="168" fontId="23" fillId="2" borderId="1" xfId="0" applyNumberFormat="1" applyFont="1" applyFill="1" applyBorder="1" applyAlignment="1">
      <alignment horizontal="right" vertical="center"/>
    </xf>
    <xf numFmtId="167" fontId="23" fillId="2" borderId="1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5" fontId="24" fillId="2" borderId="1" xfId="0" applyNumberFormat="1" applyFont="1" applyFill="1" applyBorder="1" applyAlignment="1">
      <alignment horizontal="right" vertical="center"/>
    </xf>
    <xf numFmtId="49" fontId="23" fillId="6" borderId="1" xfId="0" applyNumberFormat="1" applyFont="1" applyFill="1" applyBorder="1" applyAlignment="1">
      <alignment horizontal="center" vertical="center"/>
    </xf>
    <xf numFmtId="49" fontId="23" fillId="6" borderId="1" xfId="0" applyNumberFormat="1" applyFont="1" applyFill="1" applyBorder="1" applyAlignment="1">
      <alignment horizontal="justify" vertical="center"/>
    </xf>
    <xf numFmtId="167" fontId="23" fillId="6" borderId="1" xfId="0" applyNumberFormat="1" applyFont="1" applyFill="1" applyBorder="1" applyAlignment="1">
      <alignment horizontal="right" vertical="center"/>
    </xf>
    <xf numFmtId="167" fontId="11" fillId="6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167" fontId="2" fillId="0" borderId="2" xfId="0" applyNumberFormat="1" applyFont="1" applyFill="1" applyBorder="1" applyAlignment="1">
      <alignment horizontal="right" vertical="center"/>
    </xf>
    <xf numFmtId="164" fontId="3" fillId="8" borderId="1" xfId="3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justify" vertical="center" wrapText="1"/>
    </xf>
    <xf numFmtId="167" fontId="9" fillId="0" borderId="1" xfId="0" applyNumberFormat="1" applyFont="1" applyFill="1" applyBorder="1" applyAlignment="1">
      <alignment horizontal="right" vertical="center" wrapText="1"/>
    </xf>
    <xf numFmtId="165" fontId="9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167" fontId="12" fillId="7" borderId="1" xfId="0" applyNumberFormat="1" applyFont="1" applyFill="1" applyBorder="1" applyAlignment="1" applyProtection="1">
      <alignment horizontal="right" vertical="center"/>
    </xf>
    <xf numFmtId="167" fontId="12" fillId="7" borderId="1" xfId="0" applyNumberFormat="1" applyFont="1" applyFill="1" applyBorder="1" applyAlignment="1" applyProtection="1">
      <alignment horizontal="right" vertical="center"/>
      <protection locked="0"/>
    </xf>
    <xf numFmtId="167" fontId="12" fillId="7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7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7" borderId="1" xfId="0" applyNumberFormat="1" applyFont="1" applyFill="1" applyBorder="1" applyAlignment="1" applyProtection="1">
      <alignment horizontal="right" vertical="center"/>
    </xf>
    <xf numFmtId="167" fontId="9" fillId="7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3" borderId="1" xfId="0" applyNumberFormat="1" applyFont="1" applyFill="1" applyBorder="1" applyAlignment="1" applyProtection="1">
      <alignment horizontal="right"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167" fontId="9" fillId="9" borderId="1" xfId="0" applyNumberFormat="1" applyFont="1" applyFill="1" applyBorder="1" applyAlignment="1">
      <alignment horizontal="right" vertical="center" wrapText="1"/>
    </xf>
    <xf numFmtId="167" fontId="9" fillId="4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justify" vertical="center"/>
    </xf>
    <xf numFmtId="167" fontId="9" fillId="5" borderId="1" xfId="0" applyNumberFormat="1" applyFont="1" applyFill="1" applyBorder="1" applyAlignment="1">
      <alignment horizontal="right" vertical="center" wrapText="1"/>
    </xf>
    <xf numFmtId="167" fontId="9" fillId="8" borderId="1" xfId="0" applyNumberFormat="1" applyFont="1" applyFill="1" applyBorder="1" applyAlignment="1">
      <alignment horizontal="right" vertical="center" wrapText="1"/>
    </xf>
    <xf numFmtId="49" fontId="9" fillId="5" borderId="1" xfId="0" applyNumberFormat="1" applyFont="1" applyFill="1" applyBorder="1" applyAlignment="1">
      <alignment horizontal="justify" vertical="center" wrapText="1"/>
    </xf>
    <xf numFmtId="167" fontId="9" fillId="8" borderId="1" xfId="0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justify" vertical="center"/>
    </xf>
    <xf numFmtId="167" fontId="9" fillId="4" borderId="1" xfId="0" applyNumberFormat="1" applyFont="1" applyFill="1" applyBorder="1" applyAlignment="1">
      <alignment horizontal="right" vertical="center" wrapText="1"/>
    </xf>
    <xf numFmtId="167" fontId="8" fillId="4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7" fontId="8" fillId="5" borderId="2" xfId="0" applyNumberFormat="1" applyFont="1" applyFill="1" applyBorder="1" applyAlignment="1" applyProtection="1">
      <alignment horizontal="right" vertical="center" wrapText="1"/>
      <protection locked="0"/>
    </xf>
    <xf numFmtId="167" fontId="12" fillId="0" borderId="2" xfId="0" applyNumberFormat="1" applyFont="1" applyFill="1" applyBorder="1" applyAlignment="1" applyProtection="1">
      <alignment horizontal="right" vertical="center"/>
      <protection locked="0"/>
    </xf>
    <xf numFmtId="167" fontId="8" fillId="7" borderId="2" xfId="0" applyNumberFormat="1" applyFont="1" applyFill="1" applyBorder="1" applyAlignment="1" applyProtection="1">
      <alignment horizontal="right" vertical="center" wrapText="1"/>
      <protection locked="0"/>
    </xf>
    <xf numFmtId="167" fontId="8" fillId="8" borderId="2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25" fillId="7" borderId="1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vertical="center" wrapText="1"/>
    </xf>
    <xf numFmtId="165" fontId="2" fillId="2" borderId="2" xfId="3" applyNumberFormat="1" applyFont="1" applyFill="1" applyBorder="1" applyAlignment="1">
      <alignment horizontal="right" vertical="center"/>
    </xf>
    <xf numFmtId="165" fontId="2" fillId="2" borderId="3" xfId="3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right" vertical="center"/>
    </xf>
    <xf numFmtId="168" fontId="2" fillId="2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2" borderId="2" xfId="0" applyNumberFormat="1" applyFont="1" applyFill="1" applyBorder="1" applyAlignment="1">
      <alignment horizontal="right" vertical="center"/>
    </xf>
    <xf numFmtId="167" fontId="9" fillId="2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5" borderId="2" xfId="0" applyNumberFormat="1" applyFont="1" applyFill="1" applyBorder="1" applyAlignment="1">
      <alignment horizontal="right" vertical="center"/>
    </xf>
    <xf numFmtId="167" fontId="2" fillId="5" borderId="3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7" fontId="2" fillId="0" borderId="3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7F8C2"/>
      <color rgb="FF99FF99"/>
      <color rgb="FFFDE9D9"/>
      <color rgb="FFB7F9C2"/>
      <color rgb="FFCCFFCC"/>
      <color rgb="FFB7FF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196"/>
  <sheetViews>
    <sheetView tabSelected="1" showRuler="0" topLeftCell="B1" zoomScale="115" zoomScaleNormal="115" zoomScaleSheetLayoutView="100" workbookViewId="0">
      <pane ySplit="4" topLeftCell="A5" activePane="bottomLeft" state="frozen"/>
      <selection pane="bottomLeft" activeCell="K9" sqref="K9"/>
    </sheetView>
  </sheetViews>
  <sheetFormatPr defaultColWidth="9.140625" defaultRowHeight="13.5" x14ac:dyDescent="0.2"/>
  <cols>
    <col min="1" max="1" width="18.7109375" style="33" customWidth="1"/>
    <col min="2" max="2" width="38" style="72" customWidth="1"/>
    <col min="3" max="3" width="13" style="72" customWidth="1"/>
    <col min="4" max="4" width="12.5703125" style="73" customWidth="1"/>
    <col min="5" max="5" width="9.5703125" style="74" customWidth="1"/>
    <col min="6" max="6" width="12.85546875" style="74" customWidth="1"/>
    <col min="7" max="7" width="10.28515625" style="74" customWidth="1"/>
    <col min="8" max="8" width="8.140625" style="74" customWidth="1"/>
    <col min="9" max="9" width="11.5703125" style="74" customWidth="1"/>
    <col min="10" max="10" width="9.5703125" style="74" customWidth="1"/>
    <col min="11" max="11" width="10.140625" style="74" customWidth="1"/>
    <col min="12" max="12" width="9.28515625" style="74" customWidth="1"/>
    <col min="13" max="16384" width="9.140625" style="2"/>
  </cols>
  <sheetData>
    <row r="1" spans="1:13" x14ac:dyDescent="0.2">
      <c r="H1" s="245"/>
      <c r="I1" s="245"/>
      <c r="J1" s="245"/>
      <c r="K1" s="245"/>
      <c r="L1" s="245"/>
    </row>
    <row r="2" spans="1:13" ht="16.5" x14ac:dyDescent="0.2">
      <c r="A2" s="248" t="s">
        <v>224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75"/>
    </row>
    <row r="3" spans="1:13" x14ac:dyDescent="0.2">
      <c r="A3" s="76"/>
      <c r="B3" s="77"/>
      <c r="C3" s="77"/>
      <c r="D3" s="78"/>
      <c r="E3" s="79"/>
      <c r="F3" s="13"/>
      <c r="G3" s="13"/>
      <c r="L3" s="33" t="s">
        <v>135</v>
      </c>
    </row>
    <row r="4" spans="1:13" s="12" customFormat="1" ht="76.5" x14ac:dyDescent="0.2">
      <c r="A4" s="15" t="s">
        <v>18</v>
      </c>
      <c r="B4" s="3" t="s">
        <v>20</v>
      </c>
      <c r="C4" s="160" t="s">
        <v>75</v>
      </c>
      <c r="D4" s="160" t="s">
        <v>220</v>
      </c>
      <c r="E4" s="232" t="s">
        <v>226</v>
      </c>
      <c r="F4" s="233" t="s">
        <v>221</v>
      </c>
      <c r="G4" s="232" t="s">
        <v>222</v>
      </c>
      <c r="H4" s="113" t="s">
        <v>199</v>
      </c>
      <c r="I4" s="113" t="s">
        <v>223</v>
      </c>
      <c r="J4" s="112" t="s">
        <v>19</v>
      </c>
      <c r="K4" s="113" t="s">
        <v>11</v>
      </c>
      <c r="L4" s="114" t="s">
        <v>238</v>
      </c>
    </row>
    <row r="5" spans="1:13" s="47" customFormat="1" ht="11.25" x14ac:dyDescent="0.2">
      <c r="A5" s="46">
        <v>1</v>
      </c>
      <c r="B5" s="80" t="s">
        <v>76</v>
      </c>
      <c r="C5" s="161">
        <v>3</v>
      </c>
      <c r="D5" s="48">
        <v>4</v>
      </c>
      <c r="E5" s="46">
        <v>5</v>
      </c>
      <c r="F5" s="170">
        <v>6</v>
      </c>
      <c r="G5" s="46">
        <v>7</v>
      </c>
      <c r="H5" s="116">
        <v>8</v>
      </c>
      <c r="I5" s="116">
        <v>9</v>
      </c>
      <c r="J5" s="115">
        <v>10</v>
      </c>
      <c r="K5" s="116">
        <v>11</v>
      </c>
      <c r="L5" s="117">
        <v>12</v>
      </c>
    </row>
    <row r="6" spans="1:13" s="14" customFormat="1" ht="33" x14ac:dyDescent="0.2">
      <c r="A6" s="51" t="s">
        <v>28</v>
      </c>
      <c r="B6" s="178" t="s">
        <v>187</v>
      </c>
      <c r="C6" s="162">
        <f>C7+C22</f>
        <v>624075.30000000005</v>
      </c>
      <c r="D6" s="162">
        <f t="shared" ref="D6:G6" si="0">D7+D22</f>
        <v>751929.6</v>
      </c>
      <c r="E6" s="162">
        <f t="shared" si="0"/>
        <v>338130.4</v>
      </c>
      <c r="F6" s="162">
        <f t="shared" si="0"/>
        <v>242362.2</v>
      </c>
      <c r="G6" s="162">
        <f t="shared" si="0"/>
        <v>345518.8</v>
      </c>
      <c r="H6" s="152">
        <f t="shared" ref="H6:H34" si="1">G6/Всего_доходов_2003</f>
        <v>0.98599999999999999</v>
      </c>
      <c r="I6" s="154">
        <f>IF(E6=0,"0,0%",G6/E6)</f>
        <v>1.022</v>
      </c>
      <c r="J6" s="99">
        <f>G6-D6</f>
        <v>-406410.8</v>
      </c>
      <c r="K6" s="98">
        <f>G6/D6</f>
        <v>0.46</v>
      </c>
      <c r="L6" s="126">
        <f>G6-F6</f>
        <v>103156.6</v>
      </c>
      <c r="M6" s="24"/>
    </row>
    <row r="7" spans="1:13" s="14" customFormat="1" x14ac:dyDescent="0.2">
      <c r="A7" s="51"/>
      <c r="B7" s="52" t="s">
        <v>12</v>
      </c>
      <c r="C7" s="162">
        <f>C9+C11+C13+C16</f>
        <v>521742</v>
      </c>
      <c r="D7" s="162">
        <f t="shared" ref="D7:G7" si="2">D9+D11+D13+D16</f>
        <v>537186.30000000005</v>
      </c>
      <c r="E7" s="162">
        <f t="shared" si="2"/>
        <v>183312.9</v>
      </c>
      <c r="F7" s="162">
        <f t="shared" si="2"/>
        <v>198056.4</v>
      </c>
      <c r="G7" s="162">
        <f t="shared" si="2"/>
        <v>180770.9</v>
      </c>
      <c r="H7" s="152">
        <f t="shared" si="1"/>
        <v>0.51600000000000001</v>
      </c>
      <c r="I7" s="154">
        <f t="shared" ref="I7:I49" si="3">IF(E7=0,"0,0%",G7/E7)</f>
        <v>0.98599999999999999</v>
      </c>
      <c r="J7" s="99">
        <f t="shared" ref="J7:J41" si="4">G7-D7</f>
        <v>-356415.4</v>
      </c>
      <c r="K7" s="98">
        <f t="shared" ref="K7:K41" si="5">G7/D7</f>
        <v>0.33700000000000002</v>
      </c>
      <c r="L7" s="126">
        <f>G7-F7</f>
        <v>-17285.5</v>
      </c>
      <c r="M7" s="24"/>
    </row>
    <row r="8" spans="1:13" s="14" customFormat="1" x14ac:dyDescent="0.2">
      <c r="A8" s="51" t="s">
        <v>29</v>
      </c>
      <c r="B8" s="52" t="s">
        <v>30</v>
      </c>
      <c r="C8" s="162">
        <f>SUM(C9)</f>
        <v>278424.09999999998</v>
      </c>
      <c r="D8" s="162">
        <f t="shared" ref="D8:G8" si="6">SUM(D9)</f>
        <v>290434.3</v>
      </c>
      <c r="E8" s="162">
        <f t="shared" si="6"/>
        <v>107289.8</v>
      </c>
      <c r="F8" s="162">
        <f t="shared" si="6"/>
        <v>113035.8</v>
      </c>
      <c r="G8" s="162">
        <f t="shared" si="6"/>
        <v>105956.3</v>
      </c>
      <c r="H8" s="152">
        <f t="shared" si="1"/>
        <v>0.30199999999999999</v>
      </c>
      <c r="I8" s="154">
        <f t="shared" si="3"/>
        <v>0.98799999999999999</v>
      </c>
      <c r="J8" s="99">
        <f t="shared" si="4"/>
        <v>-184478</v>
      </c>
      <c r="K8" s="98">
        <f t="shared" si="5"/>
        <v>0.36499999999999999</v>
      </c>
      <c r="L8" s="126">
        <f>SUM(L9)</f>
        <v>-7079.5</v>
      </c>
      <c r="M8" s="24"/>
    </row>
    <row r="9" spans="1:13" s="14" customFormat="1" x14ac:dyDescent="0.2">
      <c r="A9" s="51" t="s">
        <v>31</v>
      </c>
      <c r="B9" s="125" t="s">
        <v>13</v>
      </c>
      <c r="C9" s="162">
        <f>C10</f>
        <v>278424.09999999998</v>
      </c>
      <c r="D9" s="162">
        <f t="shared" ref="D9:G9" si="7">D10</f>
        <v>290434.3</v>
      </c>
      <c r="E9" s="162">
        <f t="shared" si="7"/>
        <v>107289.8</v>
      </c>
      <c r="F9" s="162">
        <f t="shared" si="7"/>
        <v>113035.8</v>
      </c>
      <c r="G9" s="162">
        <f t="shared" si="7"/>
        <v>105956.3</v>
      </c>
      <c r="H9" s="152">
        <f t="shared" si="1"/>
        <v>0.30199999999999999</v>
      </c>
      <c r="I9" s="154">
        <f t="shared" si="3"/>
        <v>0.98799999999999999</v>
      </c>
      <c r="J9" s="99">
        <f t="shared" si="4"/>
        <v>-184478</v>
      </c>
      <c r="K9" s="98">
        <f t="shared" si="5"/>
        <v>0.36499999999999999</v>
      </c>
      <c r="L9" s="126">
        <f>G9-F9</f>
        <v>-7079.5</v>
      </c>
      <c r="M9" s="24"/>
    </row>
    <row r="10" spans="1:13" s="14" customFormat="1" ht="83.25" x14ac:dyDescent="0.2">
      <c r="A10" s="53" t="s">
        <v>136</v>
      </c>
      <c r="B10" s="55" t="s">
        <v>152</v>
      </c>
      <c r="C10" s="163">
        <v>278424.09999999998</v>
      </c>
      <c r="D10" s="138">
        <v>290434.3</v>
      </c>
      <c r="E10" s="138">
        <v>107289.8</v>
      </c>
      <c r="F10" s="171">
        <v>113035.8</v>
      </c>
      <c r="G10" s="214">
        <v>105956.3</v>
      </c>
      <c r="H10" s="147">
        <f t="shared" si="1"/>
        <v>0.30199999999999999</v>
      </c>
      <c r="I10" s="154">
        <f t="shared" si="3"/>
        <v>0.98799999999999999</v>
      </c>
      <c r="J10" s="119">
        <f t="shared" si="4"/>
        <v>-184478</v>
      </c>
      <c r="K10" s="118">
        <f t="shared" si="5"/>
        <v>0.36499999999999999</v>
      </c>
      <c r="L10" s="126">
        <f>G10-F10</f>
        <v>-7079.5</v>
      </c>
      <c r="M10" s="24"/>
    </row>
    <row r="11" spans="1:13" s="14" customFormat="1" ht="27" x14ac:dyDescent="0.2">
      <c r="A11" s="51" t="s">
        <v>182</v>
      </c>
      <c r="B11" s="58" t="s">
        <v>189</v>
      </c>
      <c r="C11" s="162">
        <f>C12</f>
        <v>12441.6</v>
      </c>
      <c r="D11" s="162">
        <f t="shared" ref="D11:G11" si="8">D12</f>
        <v>15875.7</v>
      </c>
      <c r="E11" s="162">
        <f t="shared" si="8"/>
        <v>6863.1</v>
      </c>
      <c r="F11" s="162">
        <f t="shared" si="8"/>
        <v>5953.9</v>
      </c>
      <c r="G11" s="162">
        <f t="shared" si="8"/>
        <v>6737.1</v>
      </c>
      <c r="H11" s="147">
        <f t="shared" si="1"/>
        <v>1.9E-2</v>
      </c>
      <c r="I11" s="154">
        <f t="shared" si="3"/>
        <v>0.98199999999999998</v>
      </c>
      <c r="J11" s="119">
        <f t="shared" si="4"/>
        <v>-9138.6</v>
      </c>
      <c r="K11" s="118">
        <f t="shared" si="5"/>
        <v>0.42399999999999999</v>
      </c>
      <c r="L11" s="126">
        <f>G11-F11</f>
        <v>783.2</v>
      </c>
      <c r="M11" s="24"/>
    </row>
    <row r="12" spans="1:13" s="14" customFormat="1" ht="27" x14ac:dyDescent="0.2">
      <c r="A12" s="53" t="s">
        <v>183</v>
      </c>
      <c r="B12" s="211" t="s">
        <v>190</v>
      </c>
      <c r="C12" s="163">
        <v>12441.6</v>
      </c>
      <c r="D12" s="138">
        <v>15875.7</v>
      </c>
      <c r="E12" s="214">
        <v>6863.1</v>
      </c>
      <c r="F12" s="171">
        <v>5953.9</v>
      </c>
      <c r="G12" s="138">
        <v>6737.1</v>
      </c>
      <c r="H12" s="147">
        <f t="shared" si="1"/>
        <v>1.9E-2</v>
      </c>
      <c r="I12" s="154">
        <f t="shared" si="3"/>
        <v>0.98199999999999998</v>
      </c>
      <c r="J12" s="119">
        <f t="shared" si="4"/>
        <v>-9138.6</v>
      </c>
      <c r="K12" s="118">
        <f t="shared" si="5"/>
        <v>0.42399999999999999</v>
      </c>
      <c r="L12" s="126">
        <f t="shared" ref="L12:L49" si="9">G12-F12</f>
        <v>783.2</v>
      </c>
      <c r="M12" s="24"/>
    </row>
    <row r="13" spans="1:13" s="21" customFormat="1" x14ac:dyDescent="0.2">
      <c r="A13" s="51" t="s">
        <v>96</v>
      </c>
      <c r="B13" s="58" t="s">
        <v>14</v>
      </c>
      <c r="C13" s="162">
        <f>SUM(C14)</f>
        <v>794.5</v>
      </c>
      <c r="D13" s="162">
        <f t="shared" ref="D13:G13" si="10">SUM(D14)</f>
        <v>794.5</v>
      </c>
      <c r="E13" s="162">
        <f t="shared" si="10"/>
        <v>397</v>
      </c>
      <c r="F13" s="162">
        <f t="shared" si="10"/>
        <v>703.2</v>
      </c>
      <c r="G13" s="162">
        <f t="shared" si="10"/>
        <v>778</v>
      </c>
      <c r="H13" s="152">
        <f t="shared" si="1"/>
        <v>2E-3</v>
      </c>
      <c r="I13" s="154">
        <f t="shared" si="3"/>
        <v>1.96</v>
      </c>
      <c r="J13" s="99">
        <f t="shared" si="4"/>
        <v>-16.5</v>
      </c>
      <c r="K13" s="98">
        <f t="shared" si="5"/>
        <v>0.97899999999999998</v>
      </c>
      <c r="L13" s="126">
        <f t="shared" si="9"/>
        <v>74.8</v>
      </c>
      <c r="M13" s="25"/>
    </row>
    <row r="14" spans="1:13" s="21" customFormat="1" x14ac:dyDescent="0.2">
      <c r="A14" s="51" t="s">
        <v>32</v>
      </c>
      <c r="B14" s="52" t="s">
        <v>0</v>
      </c>
      <c r="C14" s="162">
        <f>C15</f>
        <v>794.5</v>
      </c>
      <c r="D14" s="162">
        <f t="shared" ref="D14:G14" si="11">D15</f>
        <v>794.5</v>
      </c>
      <c r="E14" s="162">
        <f t="shared" si="11"/>
        <v>397</v>
      </c>
      <c r="F14" s="162">
        <f t="shared" si="11"/>
        <v>703.2</v>
      </c>
      <c r="G14" s="162">
        <f t="shared" si="11"/>
        <v>778</v>
      </c>
      <c r="H14" s="152">
        <f t="shared" si="1"/>
        <v>2E-3</v>
      </c>
      <c r="I14" s="154">
        <f t="shared" si="3"/>
        <v>1.96</v>
      </c>
      <c r="J14" s="99">
        <f t="shared" si="4"/>
        <v>-16.5</v>
      </c>
      <c r="K14" s="98">
        <f t="shared" si="5"/>
        <v>0.97899999999999998</v>
      </c>
      <c r="L14" s="126">
        <f t="shared" si="9"/>
        <v>74.8</v>
      </c>
      <c r="M14" s="25"/>
    </row>
    <row r="15" spans="1:13" s="21" customFormat="1" x14ac:dyDescent="0.2">
      <c r="A15" s="53" t="s">
        <v>84</v>
      </c>
      <c r="B15" s="55" t="s">
        <v>0</v>
      </c>
      <c r="C15" s="164">
        <v>794.5</v>
      </c>
      <c r="D15" s="29">
        <v>794.5</v>
      </c>
      <c r="E15" s="215">
        <v>397</v>
      </c>
      <c r="F15" s="172">
        <v>703.2</v>
      </c>
      <c r="G15" s="29">
        <v>778</v>
      </c>
      <c r="H15" s="147">
        <f t="shared" si="1"/>
        <v>2E-3</v>
      </c>
      <c r="I15" s="154">
        <f t="shared" si="3"/>
        <v>1.96</v>
      </c>
      <c r="J15" s="119">
        <f t="shared" si="4"/>
        <v>-16.5</v>
      </c>
      <c r="K15" s="118">
        <f t="shared" si="5"/>
        <v>0.97899999999999998</v>
      </c>
      <c r="L15" s="126">
        <f t="shared" si="9"/>
        <v>74.8</v>
      </c>
      <c r="M15" s="25"/>
    </row>
    <row r="16" spans="1:13" s="21" customFormat="1" x14ac:dyDescent="0.2">
      <c r="A16" s="51" t="s">
        <v>97</v>
      </c>
      <c r="B16" s="52" t="s">
        <v>15</v>
      </c>
      <c r="C16" s="162">
        <f>SUM(C17+C19)</f>
        <v>230081.8</v>
      </c>
      <c r="D16" s="162">
        <f t="shared" ref="D16:G16" si="12">SUM(D17+D19)</f>
        <v>230081.8</v>
      </c>
      <c r="E16" s="162">
        <f t="shared" si="12"/>
        <v>68763</v>
      </c>
      <c r="F16" s="162">
        <f t="shared" si="12"/>
        <v>78363.5</v>
      </c>
      <c r="G16" s="162">
        <f t="shared" si="12"/>
        <v>67299.5</v>
      </c>
      <c r="H16" s="152">
        <f t="shared" si="1"/>
        <v>0.192</v>
      </c>
      <c r="I16" s="154">
        <f t="shared" si="3"/>
        <v>0.97899999999999998</v>
      </c>
      <c r="J16" s="99">
        <f t="shared" si="4"/>
        <v>-162782.29999999999</v>
      </c>
      <c r="K16" s="98">
        <f t="shared" si="5"/>
        <v>0.29299999999999998</v>
      </c>
      <c r="L16" s="126">
        <f t="shared" si="9"/>
        <v>-11064</v>
      </c>
      <c r="M16" s="25"/>
    </row>
    <row r="17" spans="1:13" s="27" customFormat="1" x14ac:dyDescent="0.2">
      <c r="A17" s="51" t="s">
        <v>36</v>
      </c>
      <c r="B17" s="52" t="s">
        <v>35</v>
      </c>
      <c r="C17" s="162">
        <f>C18</f>
        <v>74118.8</v>
      </c>
      <c r="D17" s="162">
        <f t="shared" ref="D17:G17" si="13">D18</f>
        <v>74118.8</v>
      </c>
      <c r="E17" s="162">
        <f t="shared" si="13"/>
        <v>15700</v>
      </c>
      <c r="F17" s="162">
        <f t="shared" si="13"/>
        <v>13253.8</v>
      </c>
      <c r="G17" s="162">
        <f t="shared" si="13"/>
        <v>15517.8</v>
      </c>
      <c r="H17" s="152">
        <f t="shared" si="1"/>
        <v>4.3999999999999997E-2</v>
      </c>
      <c r="I17" s="154">
        <f t="shared" si="3"/>
        <v>0.98799999999999999</v>
      </c>
      <c r="J17" s="99">
        <f t="shared" si="4"/>
        <v>-58601</v>
      </c>
      <c r="K17" s="98">
        <f t="shared" si="5"/>
        <v>0.20899999999999999</v>
      </c>
      <c r="L17" s="126">
        <f t="shared" si="9"/>
        <v>2264</v>
      </c>
      <c r="M17" s="26"/>
    </row>
    <row r="18" spans="1:13" s="21" customFormat="1" ht="40.5" x14ac:dyDescent="0.2">
      <c r="A18" s="53" t="s">
        <v>33</v>
      </c>
      <c r="B18" s="55" t="s">
        <v>37</v>
      </c>
      <c r="C18" s="165">
        <v>74118.8</v>
      </c>
      <c r="D18" s="71">
        <v>74118.8</v>
      </c>
      <c r="E18" s="216">
        <v>15700</v>
      </c>
      <c r="F18" s="173">
        <v>13253.8</v>
      </c>
      <c r="G18" s="71">
        <v>15517.8</v>
      </c>
      <c r="H18" s="147">
        <f t="shared" si="1"/>
        <v>4.3999999999999997E-2</v>
      </c>
      <c r="I18" s="154">
        <f t="shared" si="3"/>
        <v>0.98799999999999999</v>
      </c>
      <c r="J18" s="119">
        <f t="shared" si="4"/>
        <v>-58601</v>
      </c>
      <c r="K18" s="118">
        <f t="shared" si="5"/>
        <v>0.20899999999999999</v>
      </c>
      <c r="L18" s="126">
        <f t="shared" si="9"/>
        <v>2264</v>
      </c>
      <c r="M18" s="25"/>
    </row>
    <row r="19" spans="1:13" s="27" customFormat="1" x14ac:dyDescent="0.2">
      <c r="A19" s="51" t="s">
        <v>34</v>
      </c>
      <c r="B19" s="52" t="s">
        <v>16</v>
      </c>
      <c r="C19" s="162">
        <f>SUM(C20:C21)</f>
        <v>155963</v>
      </c>
      <c r="D19" s="162">
        <f t="shared" ref="D19:G19" si="14">SUM(D20:D21)</f>
        <v>155963</v>
      </c>
      <c r="E19" s="162">
        <f t="shared" si="14"/>
        <v>53063</v>
      </c>
      <c r="F19" s="162">
        <f t="shared" si="14"/>
        <v>65109.7</v>
      </c>
      <c r="G19" s="162">
        <f t="shared" si="14"/>
        <v>51781.7</v>
      </c>
      <c r="H19" s="152">
        <f t="shared" si="1"/>
        <v>0.14799999999999999</v>
      </c>
      <c r="I19" s="154">
        <f t="shared" si="3"/>
        <v>0.97599999999999998</v>
      </c>
      <c r="J19" s="99">
        <f t="shared" si="4"/>
        <v>-104181.3</v>
      </c>
      <c r="K19" s="98">
        <f t="shared" si="5"/>
        <v>0.33200000000000002</v>
      </c>
      <c r="L19" s="126">
        <f t="shared" si="9"/>
        <v>-13328</v>
      </c>
      <c r="M19" s="26"/>
    </row>
    <row r="20" spans="1:13" s="27" customFormat="1" ht="40.5" x14ac:dyDescent="0.2">
      <c r="A20" s="53" t="s">
        <v>233</v>
      </c>
      <c r="B20" s="55" t="s">
        <v>232</v>
      </c>
      <c r="C20" s="216">
        <v>45200</v>
      </c>
      <c r="D20" s="71">
        <v>45200</v>
      </c>
      <c r="E20" s="216">
        <v>11700</v>
      </c>
      <c r="F20" s="173">
        <v>13293.1</v>
      </c>
      <c r="G20" s="71">
        <v>11429.4</v>
      </c>
      <c r="H20" s="147">
        <f t="shared" si="1"/>
        <v>3.3000000000000002E-2</v>
      </c>
      <c r="I20" s="154">
        <f t="shared" si="3"/>
        <v>0.97699999999999998</v>
      </c>
      <c r="J20" s="119">
        <f t="shared" si="4"/>
        <v>-33770.6</v>
      </c>
      <c r="K20" s="118">
        <f t="shared" si="5"/>
        <v>0.253</v>
      </c>
      <c r="L20" s="126">
        <f t="shared" si="9"/>
        <v>-1863.7</v>
      </c>
      <c r="M20" s="26"/>
    </row>
    <row r="21" spans="1:13" s="21" customFormat="1" ht="40.5" x14ac:dyDescent="0.2">
      <c r="A21" s="53" t="s">
        <v>231</v>
      </c>
      <c r="B21" s="55" t="s">
        <v>234</v>
      </c>
      <c r="C21" s="216">
        <v>110763</v>
      </c>
      <c r="D21" s="71">
        <v>110763</v>
      </c>
      <c r="E21" s="216">
        <v>41363</v>
      </c>
      <c r="F21" s="173">
        <v>51816.6</v>
      </c>
      <c r="G21" s="71">
        <v>40352.300000000003</v>
      </c>
      <c r="H21" s="147">
        <f t="shared" si="1"/>
        <v>0.115</v>
      </c>
      <c r="I21" s="154">
        <f t="shared" si="3"/>
        <v>0.97599999999999998</v>
      </c>
      <c r="J21" s="119">
        <f t="shared" si="4"/>
        <v>-70410.7</v>
      </c>
      <c r="K21" s="118">
        <f t="shared" si="5"/>
        <v>0.36399999999999999</v>
      </c>
      <c r="L21" s="126">
        <f t="shared" si="9"/>
        <v>-11464.3</v>
      </c>
      <c r="M21" s="25"/>
    </row>
    <row r="22" spans="1:13" s="27" customFormat="1" x14ac:dyDescent="0.2">
      <c r="B22" s="52" t="s">
        <v>17</v>
      </c>
      <c r="C22" s="162">
        <f>C23+C29+C36+C33</f>
        <v>102333.3</v>
      </c>
      <c r="D22" s="162">
        <f t="shared" ref="D22:G22" si="15">D23+D29+D36+D33</f>
        <v>214743.3</v>
      </c>
      <c r="E22" s="162">
        <f t="shared" si="15"/>
        <v>154817.5</v>
      </c>
      <c r="F22" s="162">
        <f>F23+F28+F29+F36+F33</f>
        <v>44305.8</v>
      </c>
      <c r="G22" s="162">
        <f t="shared" si="15"/>
        <v>164747.9</v>
      </c>
      <c r="H22" s="152">
        <f t="shared" si="1"/>
        <v>0.47</v>
      </c>
      <c r="I22" s="154">
        <f t="shared" si="3"/>
        <v>1.0640000000000001</v>
      </c>
      <c r="J22" s="99">
        <f t="shared" si="4"/>
        <v>-49995.4</v>
      </c>
      <c r="K22" s="98">
        <f t="shared" si="5"/>
        <v>0.76700000000000002</v>
      </c>
      <c r="L22" s="126">
        <f t="shared" si="9"/>
        <v>120442.1</v>
      </c>
      <c r="M22" s="26"/>
    </row>
    <row r="23" spans="1:13" s="21" customFormat="1" ht="40.5" x14ac:dyDescent="0.2">
      <c r="A23" s="51" t="s">
        <v>39</v>
      </c>
      <c r="B23" s="52" t="s">
        <v>1</v>
      </c>
      <c r="C23" s="200">
        <f>SUM(C24:C27)</f>
        <v>94072.8</v>
      </c>
      <c r="D23" s="200">
        <f t="shared" ref="D23:G23" si="16">SUM(D24:D27)</f>
        <v>94072.8</v>
      </c>
      <c r="E23" s="162">
        <f t="shared" si="16"/>
        <v>36825</v>
      </c>
      <c r="F23" s="200">
        <f t="shared" si="16"/>
        <v>39843.599999999999</v>
      </c>
      <c r="G23" s="200">
        <f t="shared" si="16"/>
        <v>36754.300000000003</v>
      </c>
      <c r="H23" s="152">
        <f t="shared" si="1"/>
        <v>0.105</v>
      </c>
      <c r="I23" s="154">
        <f t="shared" si="3"/>
        <v>0.998</v>
      </c>
      <c r="J23" s="99">
        <f t="shared" si="4"/>
        <v>-57318.5</v>
      </c>
      <c r="K23" s="98">
        <f t="shared" si="5"/>
        <v>0.39100000000000001</v>
      </c>
      <c r="L23" s="126">
        <f t="shared" si="9"/>
        <v>-3089.3</v>
      </c>
      <c r="M23" s="25"/>
    </row>
    <row r="24" spans="1:13" s="21" customFormat="1" ht="81" x14ac:dyDescent="0.2">
      <c r="A24" s="53" t="s">
        <v>194</v>
      </c>
      <c r="B24" s="55" t="s">
        <v>42</v>
      </c>
      <c r="C24" s="165">
        <v>64250</v>
      </c>
      <c r="D24" s="29">
        <v>64250</v>
      </c>
      <c r="E24" s="216">
        <v>28375</v>
      </c>
      <c r="F24" s="173">
        <v>37156.800000000003</v>
      </c>
      <c r="G24" s="71">
        <v>28353</v>
      </c>
      <c r="H24" s="147">
        <f t="shared" si="1"/>
        <v>8.1000000000000003E-2</v>
      </c>
      <c r="I24" s="154">
        <f t="shared" si="3"/>
        <v>0.999</v>
      </c>
      <c r="J24" s="119">
        <f t="shared" si="4"/>
        <v>-35897</v>
      </c>
      <c r="K24" s="118">
        <f t="shared" si="5"/>
        <v>0.441</v>
      </c>
      <c r="L24" s="126">
        <f t="shared" si="9"/>
        <v>-8803.7999999999993</v>
      </c>
      <c r="M24" s="25"/>
    </row>
    <row r="25" spans="1:13" s="21" customFormat="1" ht="40.5" x14ac:dyDescent="0.2">
      <c r="A25" s="212" t="s">
        <v>192</v>
      </c>
      <c r="B25" s="55" t="s">
        <v>160</v>
      </c>
      <c r="C25" s="165">
        <v>3250</v>
      </c>
      <c r="D25" s="29">
        <v>3250</v>
      </c>
      <c r="E25" s="216">
        <v>1875</v>
      </c>
      <c r="F25" s="173">
        <v>2031.3</v>
      </c>
      <c r="G25" s="71">
        <v>1873.3</v>
      </c>
      <c r="H25" s="147">
        <f t="shared" ref="H25" si="17">G25/Всего_доходов_2003</f>
        <v>5.0000000000000001E-3</v>
      </c>
      <c r="I25" s="154">
        <f t="shared" ref="I25" si="18">IF(E25=0,"0,0%",G25/E25)</f>
        <v>0.999</v>
      </c>
      <c r="J25" s="119">
        <f t="shared" ref="J25" si="19">G25-D25</f>
        <v>-1376.7</v>
      </c>
      <c r="K25" s="118">
        <f>G25/D25</f>
        <v>0.57599999999999996</v>
      </c>
      <c r="L25" s="126">
        <f t="shared" si="9"/>
        <v>-158</v>
      </c>
      <c r="M25" s="25"/>
    </row>
    <row r="26" spans="1:13" s="21" customFormat="1" ht="54" hidden="1" x14ac:dyDescent="0.2">
      <c r="A26" s="212" t="s">
        <v>193</v>
      </c>
      <c r="B26" s="55" t="s">
        <v>150</v>
      </c>
      <c r="C26" s="165">
        <v>0</v>
      </c>
      <c r="D26" s="29">
        <v>0</v>
      </c>
      <c r="E26" s="216">
        <v>0</v>
      </c>
      <c r="F26" s="173">
        <v>0</v>
      </c>
      <c r="G26" s="71">
        <v>0</v>
      </c>
      <c r="H26" s="147">
        <f t="shared" si="1"/>
        <v>0</v>
      </c>
      <c r="I26" s="154" t="str">
        <f t="shared" si="3"/>
        <v>0,0%</v>
      </c>
      <c r="J26" s="119">
        <f t="shared" si="4"/>
        <v>0</v>
      </c>
      <c r="K26" s="118" t="e">
        <f t="shared" si="5"/>
        <v>#DIV/0!</v>
      </c>
      <c r="L26" s="126">
        <f t="shared" si="9"/>
        <v>0</v>
      </c>
      <c r="M26" s="25"/>
    </row>
    <row r="27" spans="1:13" s="27" customFormat="1" ht="81" x14ac:dyDescent="0.2">
      <c r="A27" s="213" t="s">
        <v>235</v>
      </c>
      <c r="B27" s="54" t="s">
        <v>85</v>
      </c>
      <c r="C27" s="166">
        <f>26546+26.8</f>
        <v>26572.799999999999</v>
      </c>
      <c r="D27" s="29">
        <v>26572.799999999999</v>
      </c>
      <c r="E27" s="217">
        <v>6575</v>
      </c>
      <c r="F27" s="175">
        <v>655.5</v>
      </c>
      <c r="G27" s="43">
        <v>6528</v>
      </c>
      <c r="H27" s="147">
        <f t="shared" si="1"/>
        <v>1.9E-2</v>
      </c>
      <c r="I27" s="154">
        <f t="shared" si="3"/>
        <v>0.99299999999999999</v>
      </c>
      <c r="J27" s="119">
        <f t="shared" si="4"/>
        <v>-20044.8</v>
      </c>
      <c r="K27" s="118">
        <f t="shared" si="5"/>
        <v>0.246</v>
      </c>
      <c r="L27" s="126">
        <f t="shared" si="9"/>
        <v>5872.5</v>
      </c>
      <c r="M27" s="26"/>
    </row>
    <row r="28" spans="1:13" s="27" customFormat="1" ht="33" x14ac:dyDescent="0.2">
      <c r="A28" s="239" t="s">
        <v>236</v>
      </c>
      <c r="B28" s="240" t="s">
        <v>237</v>
      </c>
      <c r="C28" s="234"/>
      <c r="D28" s="235"/>
      <c r="E28" s="236"/>
      <c r="F28" s="237">
        <v>19.5</v>
      </c>
      <c r="G28" s="238"/>
      <c r="H28" s="147"/>
      <c r="I28" s="154"/>
      <c r="J28" s="119"/>
      <c r="K28" s="118"/>
      <c r="L28" s="126"/>
      <c r="M28" s="26"/>
    </row>
    <row r="29" spans="1:13" s="21" customFormat="1" ht="27" x14ac:dyDescent="0.2">
      <c r="A29" s="59" t="s">
        <v>38</v>
      </c>
      <c r="B29" s="60" t="s">
        <v>2</v>
      </c>
      <c r="C29" s="167">
        <f>SUM(C30:C32)</f>
        <v>8025</v>
      </c>
      <c r="D29" s="167">
        <f t="shared" ref="D29:G29" si="20">SUM(D30:D32)</f>
        <v>120435</v>
      </c>
      <c r="E29" s="167">
        <f t="shared" si="20"/>
        <v>117992.5</v>
      </c>
      <c r="F29" s="167">
        <f t="shared" si="20"/>
        <v>4597.3</v>
      </c>
      <c r="G29" s="167">
        <f t="shared" si="20"/>
        <v>117974.3</v>
      </c>
      <c r="H29" s="152">
        <f t="shared" si="1"/>
        <v>0.33700000000000002</v>
      </c>
      <c r="I29" s="154">
        <f t="shared" si="3"/>
        <v>1</v>
      </c>
      <c r="J29" s="99">
        <f t="shared" si="4"/>
        <v>-2460.6999999999998</v>
      </c>
      <c r="K29" s="98">
        <f t="shared" si="5"/>
        <v>0.98</v>
      </c>
      <c r="L29" s="126">
        <f t="shared" si="9"/>
        <v>113377</v>
      </c>
      <c r="M29" s="25"/>
    </row>
    <row r="30" spans="1:13" s="21" customFormat="1" ht="94.5" x14ac:dyDescent="0.2">
      <c r="A30" s="16" t="s">
        <v>195</v>
      </c>
      <c r="B30" s="54" t="s">
        <v>125</v>
      </c>
      <c r="C30" s="166">
        <v>1800</v>
      </c>
      <c r="D30" s="29">
        <v>1800</v>
      </c>
      <c r="E30" s="217">
        <v>1720</v>
      </c>
      <c r="F30" s="175">
        <v>1158.2</v>
      </c>
      <c r="G30" s="43">
        <v>1722.9</v>
      </c>
      <c r="H30" s="147">
        <f t="shared" si="1"/>
        <v>5.0000000000000001E-3</v>
      </c>
      <c r="I30" s="154">
        <f t="shared" si="3"/>
        <v>1.002</v>
      </c>
      <c r="J30" s="119">
        <f t="shared" si="4"/>
        <v>-77.099999999999994</v>
      </c>
      <c r="K30" s="118">
        <f t="shared" si="5"/>
        <v>0.95699999999999996</v>
      </c>
      <c r="L30" s="126">
        <f t="shared" si="9"/>
        <v>564.70000000000005</v>
      </c>
      <c r="M30" s="25"/>
    </row>
    <row r="31" spans="1:13" s="21" customFormat="1" ht="54" x14ac:dyDescent="0.2">
      <c r="A31" s="16" t="s">
        <v>198</v>
      </c>
      <c r="B31" s="54" t="s">
        <v>43</v>
      </c>
      <c r="C31" s="166">
        <v>6225</v>
      </c>
      <c r="D31" s="29">
        <v>6225</v>
      </c>
      <c r="E31" s="217">
        <v>3862.5</v>
      </c>
      <c r="F31" s="175">
        <v>3439.1</v>
      </c>
      <c r="G31" s="43">
        <v>3841.4</v>
      </c>
      <c r="H31" s="147">
        <f t="shared" si="1"/>
        <v>1.0999999999999999E-2</v>
      </c>
      <c r="I31" s="154">
        <f t="shared" si="3"/>
        <v>0.995</v>
      </c>
      <c r="J31" s="119">
        <f t="shared" si="4"/>
        <v>-2383.6</v>
      </c>
      <c r="K31" s="118">
        <f t="shared" si="5"/>
        <v>0.61699999999999999</v>
      </c>
      <c r="L31" s="126">
        <f t="shared" si="9"/>
        <v>402.3</v>
      </c>
      <c r="M31" s="25"/>
    </row>
    <row r="32" spans="1:13" s="21" customFormat="1" ht="54" x14ac:dyDescent="0.2">
      <c r="A32" s="16" t="s">
        <v>197</v>
      </c>
      <c r="B32" s="54" t="s">
        <v>157</v>
      </c>
      <c r="C32" s="166">
        <v>0</v>
      </c>
      <c r="D32" s="29">
        <v>112410</v>
      </c>
      <c r="E32" s="217">
        <v>112410</v>
      </c>
      <c r="F32" s="175">
        <v>0</v>
      </c>
      <c r="G32" s="43">
        <v>112410</v>
      </c>
      <c r="H32" s="147">
        <f t="shared" ref="H32" si="21">G32/Всего_доходов_2003</f>
        <v>0.32100000000000001</v>
      </c>
      <c r="I32" s="154">
        <f t="shared" ref="I32" si="22">IF(E32=0,"0,0%",G32/E32)</f>
        <v>1</v>
      </c>
      <c r="J32" s="119">
        <f t="shared" ref="J32" si="23">G32-D32</f>
        <v>0</v>
      </c>
      <c r="K32" s="118">
        <f t="shared" si="5"/>
        <v>1</v>
      </c>
      <c r="L32" s="126">
        <f t="shared" si="9"/>
        <v>112410</v>
      </c>
      <c r="M32" s="25"/>
    </row>
    <row r="33" spans="1:13" s="21" customFormat="1" x14ac:dyDescent="0.2">
      <c r="A33" s="56" t="s">
        <v>153</v>
      </c>
      <c r="B33" s="57" t="s">
        <v>154</v>
      </c>
      <c r="C33" s="168">
        <f>SUM(C34:C35)</f>
        <v>0</v>
      </c>
      <c r="D33" s="168">
        <f t="shared" ref="D33:G33" si="24">SUM(D34:D35)</f>
        <v>0</v>
      </c>
      <c r="E33" s="168">
        <f t="shared" si="24"/>
        <v>0</v>
      </c>
      <c r="F33" s="168">
        <f t="shared" si="24"/>
        <v>-146</v>
      </c>
      <c r="G33" s="168">
        <f t="shared" si="24"/>
        <v>19.3</v>
      </c>
      <c r="H33" s="152">
        <f t="shared" si="1"/>
        <v>0</v>
      </c>
      <c r="I33" s="154" t="str">
        <f t="shared" si="3"/>
        <v>0,0%</v>
      </c>
      <c r="J33" s="99">
        <f t="shared" ref="J33:J34" si="25">G33-D33</f>
        <v>19.3</v>
      </c>
      <c r="K33" s="98" t="e">
        <f t="shared" ref="K33:K34" si="26">G33/D33</f>
        <v>#DIV/0!</v>
      </c>
      <c r="L33" s="126">
        <f t="shared" si="9"/>
        <v>165.3</v>
      </c>
      <c r="M33" s="25"/>
    </row>
    <row r="34" spans="1:13" s="21" customFormat="1" ht="54" x14ac:dyDescent="0.2">
      <c r="A34" s="16" t="s">
        <v>155</v>
      </c>
      <c r="B34" s="54" t="s">
        <v>156</v>
      </c>
      <c r="C34" s="166">
        <v>0</v>
      </c>
      <c r="D34" s="29">
        <v>0</v>
      </c>
      <c r="E34" s="217">
        <v>0</v>
      </c>
      <c r="F34" s="175">
        <v>0</v>
      </c>
      <c r="G34" s="43">
        <v>0</v>
      </c>
      <c r="H34" s="147">
        <f t="shared" si="1"/>
        <v>0</v>
      </c>
      <c r="I34" s="154" t="str">
        <f t="shared" si="3"/>
        <v>0,0%</v>
      </c>
      <c r="J34" s="119">
        <f t="shared" si="25"/>
        <v>0</v>
      </c>
      <c r="K34" s="118" t="e">
        <f t="shared" si="26"/>
        <v>#DIV/0!</v>
      </c>
      <c r="L34" s="126">
        <f t="shared" si="9"/>
        <v>0</v>
      </c>
      <c r="M34" s="25"/>
    </row>
    <row r="35" spans="1:13" s="21" customFormat="1" ht="54" x14ac:dyDescent="0.2">
      <c r="A35" s="16" t="s">
        <v>184</v>
      </c>
      <c r="B35" s="54" t="s">
        <v>185</v>
      </c>
      <c r="C35" s="166">
        <v>0</v>
      </c>
      <c r="D35" s="29">
        <v>0</v>
      </c>
      <c r="E35" s="217">
        <v>0</v>
      </c>
      <c r="F35" s="175">
        <v>-146</v>
      </c>
      <c r="G35" s="43">
        <v>19.3</v>
      </c>
      <c r="H35" s="147">
        <f t="shared" ref="H35" si="27">G35/Всего_доходов_2003</f>
        <v>0</v>
      </c>
      <c r="I35" s="154" t="str">
        <f t="shared" ref="I35" si="28">IF(E35=0,"0,0%",G35/E35)</f>
        <v>0,0%</v>
      </c>
      <c r="J35" s="119">
        <f t="shared" ref="J35" si="29">G35-D35</f>
        <v>19.3</v>
      </c>
      <c r="K35" s="118" t="e">
        <f t="shared" ref="K35" si="30">G35/D35</f>
        <v>#DIV/0!</v>
      </c>
      <c r="L35" s="126">
        <f t="shared" si="9"/>
        <v>165.3</v>
      </c>
      <c r="M35" s="25"/>
    </row>
    <row r="36" spans="1:13" s="21" customFormat="1" x14ac:dyDescent="0.2">
      <c r="A36" s="56" t="s">
        <v>3</v>
      </c>
      <c r="B36" s="57" t="s">
        <v>5</v>
      </c>
      <c r="C36" s="168">
        <f>SUM(C37:C38)</f>
        <v>235.5</v>
      </c>
      <c r="D36" s="168">
        <f t="shared" ref="D36:G36" si="31">SUM(D37:D38)</f>
        <v>235.5</v>
      </c>
      <c r="E36" s="168">
        <f t="shared" si="31"/>
        <v>0</v>
      </c>
      <c r="F36" s="168">
        <f t="shared" si="31"/>
        <v>-8.6</v>
      </c>
      <c r="G36" s="168">
        <f t="shared" si="31"/>
        <v>10000</v>
      </c>
      <c r="H36" s="156">
        <f t="shared" ref="H36:H37" si="32">G36-E36</f>
        <v>10000</v>
      </c>
      <c r="I36" s="154" t="str">
        <f t="shared" si="3"/>
        <v>0,0%</v>
      </c>
      <c r="J36" s="99">
        <f t="shared" si="4"/>
        <v>9764.5</v>
      </c>
      <c r="K36" s="118">
        <v>0</v>
      </c>
      <c r="L36" s="126">
        <f t="shared" si="9"/>
        <v>10008.6</v>
      </c>
      <c r="M36" s="25"/>
    </row>
    <row r="37" spans="1:13" s="21" customFormat="1" ht="27" x14ac:dyDescent="0.2">
      <c r="A37" s="16" t="s">
        <v>186</v>
      </c>
      <c r="B37" s="54" t="s">
        <v>51</v>
      </c>
      <c r="C37" s="166">
        <v>0</v>
      </c>
      <c r="D37" s="29">
        <v>0</v>
      </c>
      <c r="E37" s="217">
        <v>0</v>
      </c>
      <c r="F37" s="175">
        <v>-8.6</v>
      </c>
      <c r="G37" s="43">
        <v>10000</v>
      </c>
      <c r="H37" s="155">
        <f t="shared" si="32"/>
        <v>10000</v>
      </c>
      <c r="I37" s="154" t="str">
        <f t="shared" si="3"/>
        <v>0,0%</v>
      </c>
      <c r="J37" s="119">
        <f t="shared" si="4"/>
        <v>10000</v>
      </c>
      <c r="K37" s="118">
        <v>0</v>
      </c>
      <c r="L37" s="126">
        <f t="shared" si="9"/>
        <v>10008.6</v>
      </c>
      <c r="M37" s="25"/>
    </row>
    <row r="38" spans="1:13" s="21" customFormat="1" ht="27" x14ac:dyDescent="0.2">
      <c r="A38" s="16" t="s">
        <v>191</v>
      </c>
      <c r="B38" s="54" t="s">
        <v>196</v>
      </c>
      <c r="C38" s="166">
        <v>235.5</v>
      </c>
      <c r="D38" s="29">
        <v>235.5</v>
      </c>
      <c r="E38" s="217">
        <v>0</v>
      </c>
      <c r="F38" s="175">
        <v>0</v>
      </c>
      <c r="G38" s="43">
        <v>0</v>
      </c>
      <c r="H38" s="155">
        <f t="shared" ref="H38" si="33">G38-E38</f>
        <v>0</v>
      </c>
      <c r="I38" s="154" t="str">
        <f t="shared" ref="I38" si="34">IF(E38=0,"0,0%",G38/E38)</f>
        <v>0,0%</v>
      </c>
      <c r="J38" s="119">
        <f t="shared" ref="J38" si="35">G38-D38</f>
        <v>-235.5</v>
      </c>
      <c r="K38" s="118">
        <v>0</v>
      </c>
      <c r="L38" s="126">
        <f t="shared" ref="L38" si="36">G38-F38</f>
        <v>0</v>
      </c>
      <c r="M38" s="25"/>
    </row>
    <row r="39" spans="1:13" s="21" customFormat="1" x14ac:dyDescent="0.2">
      <c r="A39" s="56" t="s">
        <v>40</v>
      </c>
      <c r="B39" s="61" t="s">
        <v>4</v>
      </c>
      <c r="C39" s="168">
        <f>SUM(C40,C42,C47,C45)</f>
        <v>9689.7000000000007</v>
      </c>
      <c r="D39" s="168">
        <f t="shared" ref="D39:G39" si="37">SUM(D40,D42,D47,D45)</f>
        <v>9689.7000000000007</v>
      </c>
      <c r="E39" s="168">
        <f t="shared" si="37"/>
        <v>4844.8</v>
      </c>
      <c r="F39" s="168">
        <f t="shared" si="37"/>
        <v>4639</v>
      </c>
      <c r="G39" s="168">
        <f t="shared" si="37"/>
        <v>4844.8</v>
      </c>
      <c r="H39" s="152">
        <f t="shared" ref="H39:H48" si="38">G39/Всего_доходов_2003</f>
        <v>1.4E-2</v>
      </c>
      <c r="I39" s="154">
        <f t="shared" si="3"/>
        <v>1</v>
      </c>
      <c r="J39" s="99">
        <f t="shared" si="4"/>
        <v>-4844.8999999999996</v>
      </c>
      <c r="K39" s="98">
        <f t="shared" si="5"/>
        <v>0.5</v>
      </c>
      <c r="L39" s="126">
        <f t="shared" si="9"/>
        <v>205.8</v>
      </c>
      <c r="M39" s="25"/>
    </row>
    <row r="40" spans="1:13" s="21" customFormat="1" ht="27" x14ac:dyDescent="0.2">
      <c r="A40" s="62" t="s">
        <v>41</v>
      </c>
      <c r="B40" s="63" t="s">
        <v>46</v>
      </c>
      <c r="C40" s="168">
        <f>C41</f>
        <v>9689.7000000000007</v>
      </c>
      <c r="D40" s="168">
        <f t="shared" ref="D40:G40" si="39">D41</f>
        <v>9689.7000000000007</v>
      </c>
      <c r="E40" s="168">
        <f t="shared" si="39"/>
        <v>4844.8</v>
      </c>
      <c r="F40" s="168">
        <f t="shared" si="39"/>
        <v>4513.8</v>
      </c>
      <c r="G40" s="168">
        <f t="shared" si="39"/>
        <v>4844.8</v>
      </c>
      <c r="H40" s="152">
        <f t="shared" si="38"/>
        <v>1.4E-2</v>
      </c>
      <c r="I40" s="154">
        <f t="shared" si="3"/>
        <v>1</v>
      </c>
      <c r="J40" s="99">
        <f t="shared" si="4"/>
        <v>-4844.8999999999996</v>
      </c>
      <c r="K40" s="98">
        <f t="shared" si="5"/>
        <v>0.5</v>
      </c>
      <c r="L40" s="126">
        <f t="shared" si="9"/>
        <v>331</v>
      </c>
      <c r="M40" s="25"/>
    </row>
    <row r="41" spans="1:13" s="21" customFormat="1" ht="67.5" x14ac:dyDescent="0.2">
      <c r="A41" s="64" t="s">
        <v>71</v>
      </c>
      <c r="B41" s="65" t="s">
        <v>52</v>
      </c>
      <c r="C41" s="166">
        <v>9689.7000000000007</v>
      </c>
      <c r="D41" s="43">
        <v>9689.7000000000007</v>
      </c>
      <c r="E41" s="217">
        <v>4844.8</v>
      </c>
      <c r="F41" s="175">
        <v>4513.8</v>
      </c>
      <c r="G41" s="43">
        <v>4844.8</v>
      </c>
      <c r="H41" s="147">
        <f t="shared" si="38"/>
        <v>1.4E-2</v>
      </c>
      <c r="I41" s="154">
        <f t="shared" si="3"/>
        <v>1</v>
      </c>
      <c r="J41" s="119">
        <f t="shared" si="4"/>
        <v>-4844.8999999999996</v>
      </c>
      <c r="K41" s="118">
        <f t="shared" si="5"/>
        <v>0.5</v>
      </c>
      <c r="L41" s="126">
        <f t="shared" si="9"/>
        <v>331</v>
      </c>
      <c r="M41" s="25"/>
    </row>
    <row r="42" spans="1:13" s="21" customFormat="1" ht="40.5" hidden="1" x14ac:dyDescent="0.2">
      <c r="A42" s="66" t="s">
        <v>126</v>
      </c>
      <c r="B42" s="61" t="s">
        <v>127</v>
      </c>
      <c r="C42" s="168">
        <f>C43+C44</f>
        <v>0</v>
      </c>
      <c r="D42" s="70">
        <f>D43+D44</f>
        <v>0</v>
      </c>
      <c r="E42" s="218">
        <f>E43+E44</f>
        <v>0</v>
      </c>
      <c r="F42" s="174">
        <f>F43+F44</f>
        <v>0</v>
      </c>
      <c r="G42" s="70">
        <f>G43+G44</f>
        <v>0</v>
      </c>
      <c r="H42" s="152">
        <f t="shared" si="38"/>
        <v>0</v>
      </c>
      <c r="I42" s="154" t="str">
        <f t="shared" si="3"/>
        <v>0,0%</v>
      </c>
      <c r="J42" s="98">
        <f t="shared" ref="J42:J48" si="40">G42/Всего_доходов_2003</f>
        <v>0</v>
      </c>
      <c r="K42" s="99">
        <f>G42-D42</f>
        <v>0</v>
      </c>
      <c r="L42" s="126">
        <f t="shared" si="9"/>
        <v>0</v>
      </c>
      <c r="M42" s="25"/>
    </row>
    <row r="43" spans="1:13" s="27" customFormat="1" ht="67.5" hidden="1" x14ac:dyDescent="0.25">
      <c r="A43" s="141" t="s">
        <v>142</v>
      </c>
      <c r="B43" s="140" t="s">
        <v>140</v>
      </c>
      <c r="C43" s="166">
        <v>0</v>
      </c>
      <c r="D43" s="43">
        <v>0</v>
      </c>
      <c r="E43" s="217">
        <v>0</v>
      </c>
      <c r="F43" s="175">
        <v>0</v>
      </c>
      <c r="G43" s="43">
        <v>0</v>
      </c>
      <c r="H43" s="147">
        <f t="shared" si="38"/>
        <v>0</v>
      </c>
      <c r="I43" s="154" t="str">
        <f t="shared" si="3"/>
        <v>0,0%</v>
      </c>
      <c r="J43" s="119">
        <f>G43-D43</f>
        <v>0</v>
      </c>
      <c r="K43" s="118">
        <v>0</v>
      </c>
      <c r="L43" s="126">
        <f t="shared" si="9"/>
        <v>0</v>
      </c>
    </row>
    <row r="44" spans="1:13" s="27" customFormat="1" ht="54" hidden="1" x14ac:dyDescent="0.25">
      <c r="A44" s="141" t="s">
        <v>143</v>
      </c>
      <c r="B44" s="140" t="s">
        <v>141</v>
      </c>
      <c r="C44" s="166">
        <v>0</v>
      </c>
      <c r="D44" s="43">
        <v>0</v>
      </c>
      <c r="E44" s="217">
        <v>0</v>
      </c>
      <c r="F44" s="175">
        <v>0</v>
      </c>
      <c r="G44" s="43">
        <v>0</v>
      </c>
      <c r="H44" s="147">
        <f t="shared" si="38"/>
        <v>0</v>
      </c>
      <c r="I44" s="154" t="str">
        <f t="shared" si="3"/>
        <v>0,0%</v>
      </c>
      <c r="J44" s="119">
        <f>G44-D44</f>
        <v>0</v>
      </c>
      <c r="K44" s="118">
        <v>0</v>
      </c>
      <c r="L44" s="126">
        <f t="shared" si="9"/>
        <v>0</v>
      </c>
    </row>
    <row r="45" spans="1:13" s="27" customFormat="1" hidden="1" x14ac:dyDescent="0.25">
      <c r="A45" s="201" t="s">
        <v>164</v>
      </c>
      <c r="B45" s="202" t="s">
        <v>163</v>
      </c>
      <c r="C45" s="169">
        <f>C46</f>
        <v>0</v>
      </c>
      <c r="D45" s="81">
        <f>D46</f>
        <v>0</v>
      </c>
      <c r="E45" s="219">
        <f>E46</f>
        <v>0</v>
      </c>
      <c r="F45" s="176">
        <f>F46</f>
        <v>0</v>
      </c>
      <c r="G45" s="81">
        <f>G46</f>
        <v>0</v>
      </c>
      <c r="H45" s="152">
        <f t="shared" ref="H45:H46" si="41">G45/Всего_доходов_2003</f>
        <v>0</v>
      </c>
      <c r="I45" s="154" t="str">
        <f t="shared" ref="I45:I46" si="42">IF(E45=0,"0,0%",G45/E45)</f>
        <v>0,0%</v>
      </c>
      <c r="J45" s="98">
        <f t="shared" ref="J45:J46" si="43">G45/Всего_доходов_2003</f>
        <v>0</v>
      </c>
      <c r="K45" s="99">
        <f>G45-D45</f>
        <v>0</v>
      </c>
      <c r="L45" s="126">
        <f t="shared" si="9"/>
        <v>0</v>
      </c>
    </row>
    <row r="46" spans="1:13" s="27" customFormat="1" ht="40.5" hidden="1" x14ac:dyDescent="0.25">
      <c r="A46" s="141" t="s">
        <v>161</v>
      </c>
      <c r="B46" s="140" t="s">
        <v>162</v>
      </c>
      <c r="C46" s="166">
        <v>0</v>
      </c>
      <c r="D46" s="43">
        <v>0</v>
      </c>
      <c r="E46" s="217">
        <v>0</v>
      </c>
      <c r="F46" s="175">
        <v>0</v>
      </c>
      <c r="G46" s="43">
        <v>0</v>
      </c>
      <c r="H46" s="147">
        <f t="shared" si="41"/>
        <v>0</v>
      </c>
      <c r="I46" s="154" t="str">
        <f t="shared" si="42"/>
        <v>0,0%</v>
      </c>
      <c r="J46" s="118">
        <f t="shared" si="43"/>
        <v>0</v>
      </c>
      <c r="K46" s="119">
        <f>G46-D46</f>
        <v>0</v>
      </c>
      <c r="L46" s="126">
        <f t="shared" si="9"/>
        <v>0</v>
      </c>
    </row>
    <row r="47" spans="1:13" s="21" customFormat="1" ht="40.5" x14ac:dyDescent="0.2">
      <c r="A47" s="66" t="s">
        <v>128</v>
      </c>
      <c r="B47" s="61" t="s">
        <v>129</v>
      </c>
      <c r="C47" s="169">
        <f>C48</f>
        <v>0</v>
      </c>
      <c r="D47" s="81">
        <f>D48</f>
        <v>0</v>
      </c>
      <c r="E47" s="219">
        <f>E48</f>
        <v>0</v>
      </c>
      <c r="F47" s="176">
        <f>F48</f>
        <v>125.2</v>
      </c>
      <c r="G47" s="81">
        <f>G48</f>
        <v>0</v>
      </c>
      <c r="H47" s="152">
        <f t="shared" si="38"/>
        <v>0</v>
      </c>
      <c r="I47" s="154" t="str">
        <f t="shared" si="3"/>
        <v>0,0%</v>
      </c>
      <c r="J47" s="98">
        <f t="shared" si="40"/>
        <v>0</v>
      </c>
      <c r="K47" s="99">
        <f>G47-D47</f>
        <v>0</v>
      </c>
      <c r="L47" s="126">
        <f t="shared" si="9"/>
        <v>-125.2</v>
      </c>
      <c r="M47" s="25"/>
    </row>
    <row r="48" spans="1:13" s="21" customFormat="1" ht="40.5" x14ac:dyDescent="0.2">
      <c r="A48" s="64" t="s">
        <v>130</v>
      </c>
      <c r="B48" s="65" t="s">
        <v>70</v>
      </c>
      <c r="C48" s="166">
        <v>0</v>
      </c>
      <c r="D48" s="43">
        <v>0</v>
      </c>
      <c r="E48" s="217">
        <v>0</v>
      </c>
      <c r="F48" s="175">
        <v>125.2</v>
      </c>
      <c r="G48" s="43">
        <v>0</v>
      </c>
      <c r="H48" s="147">
        <f t="shared" si="38"/>
        <v>0</v>
      </c>
      <c r="I48" s="154" t="str">
        <f t="shared" si="3"/>
        <v>0,0%</v>
      </c>
      <c r="J48" s="118">
        <f t="shared" si="40"/>
        <v>0</v>
      </c>
      <c r="K48" s="119">
        <f>G48-D48</f>
        <v>0</v>
      </c>
      <c r="L48" s="126">
        <f t="shared" si="9"/>
        <v>-125.2</v>
      </c>
      <c r="M48" s="25"/>
    </row>
    <row r="49" spans="1:12" s="28" customFormat="1" x14ac:dyDescent="0.2">
      <c r="A49" s="148"/>
      <c r="B49" s="149" t="s">
        <v>6</v>
      </c>
      <c r="C49" s="150">
        <f>C6+C39</f>
        <v>633765</v>
      </c>
      <c r="D49" s="150">
        <f>D6+D39</f>
        <v>761619.3</v>
      </c>
      <c r="E49" s="220">
        <f>E6+E39</f>
        <v>342975.2</v>
      </c>
      <c r="F49" s="150">
        <f>F6+F39</f>
        <v>247001.2</v>
      </c>
      <c r="G49" s="150">
        <f>G6+G39</f>
        <v>350363.6</v>
      </c>
      <c r="H49" s="98">
        <f t="shared" ref="H49" si="44">G49/Всего_доходов_2003</f>
        <v>1</v>
      </c>
      <c r="I49" s="154">
        <f t="shared" si="3"/>
        <v>1.022</v>
      </c>
      <c r="J49" s="99">
        <f t="shared" ref="J49" si="45">G49-D49</f>
        <v>-411255.7</v>
      </c>
      <c r="K49" s="98">
        <f>G49/D49</f>
        <v>0.46</v>
      </c>
      <c r="L49" s="126">
        <f t="shared" si="9"/>
        <v>103362.4</v>
      </c>
    </row>
    <row r="50" spans="1:12" s="13" customFormat="1" x14ac:dyDescent="0.2">
      <c r="A50" s="50"/>
      <c r="B50" s="4"/>
      <c r="C50" s="4"/>
      <c r="D50" s="30"/>
      <c r="E50" s="5"/>
      <c r="F50" s="5"/>
      <c r="G50" s="5"/>
      <c r="H50" s="67"/>
      <c r="I50" s="67"/>
      <c r="J50" s="68"/>
      <c r="K50" s="69"/>
      <c r="L50" s="5"/>
    </row>
    <row r="51" spans="1:12" ht="16.5" x14ac:dyDescent="0.2">
      <c r="A51" s="18" t="s">
        <v>10</v>
      </c>
      <c r="B51" s="177" t="s">
        <v>7</v>
      </c>
      <c r="C51" s="4"/>
      <c r="D51" s="30"/>
      <c r="E51" s="7"/>
      <c r="F51" s="7"/>
      <c r="G51" s="7"/>
      <c r="H51" s="82"/>
      <c r="I51" s="82"/>
      <c r="J51" s="83"/>
      <c r="K51" s="82"/>
      <c r="L51" s="7"/>
    </row>
    <row r="52" spans="1:12" s="28" customFormat="1" x14ac:dyDescent="0.2">
      <c r="A52" s="95" t="s">
        <v>21</v>
      </c>
      <c r="B52" s="96" t="s">
        <v>25</v>
      </c>
      <c r="C52" s="97">
        <f>C53+C54+C55+C58+C61+C62+C63</f>
        <v>24668.1</v>
      </c>
      <c r="D52" s="97">
        <f>D53+D54+D55+D58+D61+D62+D63</f>
        <v>23411.9</v>
      </c>
      <c r="E52" s="97">
        <f>E53+E54+E55+E58+E61+E62+E63</f>
        <v>7067.2</v>
      </c>
      <c r="F52" s="97">
        <f>F53+F54+F55+F58+F61+F62+F63</f>
        <v>10198.4</v>
      </c>
      <c r="G52" s="97">
        <f>G53+G54+G55+G58+G61+G62+G63</f>
        <v>7053.6</v>
      </c>
      <c r="H52" s="98">
        <f>G52/G172</f>
        <v>0.02</v>
      </c>
      <c r="I52" s="154">
        <f>IF(E52=0,"0,0%",G52/E52)</f>
        <v>0.998</v>
      </c>
      <c r="J52" s="99">
        <f>G52-D52</f>
        <v>-16358.3</v>
      </c>
      <c r="K52" s="98">
        <f>G52/D52</f>
        <v>0.30099999999999999</v>
      </c>
      <c r="L52" s="100">
        <f>G52-F52</f>
        <v>-3144.8</v>
      </c>
    </row>
    <row r="53" spans="1:12" ht="40.5" x14ac:dyDescent="0.2">
      <c r="A53" s="17" t="s">
        <v>48</v>
      </c>
      <c r="B53" s="10" t="s">
        <v>57</v>
      </c>
      <c r="C53" s="130">
        <v>1747.5</v>
      </c>
      <c r="D53" s="31">
        <v>1747.5</v>
      </c>
      <c r="E53" s="7">
        <v>948.6</v>
      </c>
      <c r="F53" s="186">
        <v>644.79999999999995</v>
      </c>
      <c r="G53" s="7">
        <v>948.6</v>
      </c>
      <c r="H53" s="109">
        <f>G53/$G$172</f>
        <v>3.0000000000000001E-3</v>
      </c>
      <c r="I53" s="154">
        <f>IF(E53=0,"0,0%",G53/E53)</f>
        <v>1</v>
      </c>
      <c r="J53" s="110">
        <f t="shared" ref="J53:J137" si="46">G53-D53</f>
        <v>-798.9</v>
      </c>
      <c r="K53" s="109">
        <f t="shared" ref="K53:K126" si="47">G53/D53</f>
        <v>0.54300000000000004</v>
      </c>
      <c r="L53" s="139">
        <f>G53-F53</f>
        <v>303.8</v>
      </c>
    </row>
    <row r="54" spans="1:12" ht="54" x14ac:dyDescent="0.2">
      <c r="A54" s="17" t="s">
        <v>49</v>
      </c>
      <c r="B54" s="10" t="s">
        <v>131</v>
      </c>
      <c r="C54" s="130">
        <v>14074.6</v>
      </c>
      <c r="D54" s="31">
        <v>12618.4</v>
      </c>
      <c r="E54" s="7">
        <v>4271.3</v>
      </c>
      <c r="F54" s="186">
        <v>5305.9</v>
      </c>
      <c r="G54" s="7">
        <v>4271.3</v>
      </c>
      <c r="H54" s="109">
        <f>G54/$G$172</f>
        <v>1.2E-2</v>
      </c>
      <c r="I54" s="154">
        <f>IF(E54=0,"0,0%",G54/E54)</f>
        <v>1</v>
      </c>
      <c r="J54" s="110">
        <f t="shared" si="46"/>
        <v>-8347.1</v>
      </c>
      <c r="K54" s="109">
        <f t="shared" si="47"/>
        <v>0.33800000000000002</v>
      </c>
      <c r="L54" s="139">
        <f>G54-F54</f>
        <v>-1034.5999999999999</v>
      </c>
    </row>
    <row r="55" spans="1:12" ht="54" x14ac:dyDescent="0.2">
      <c r="A55" s="17" t="s">
        <v>165</v>
      </c>
      <c r="B55" s="10" t="s">
        <v>132</v>
      </c>
      <c r="C55" s="130">
        <v>3124.1</v>
      </c>
      <c r="D55" s="31">
        <v>3124.1</v>
      </c>
      <c r="E55" s="7">
        <v>1485.2</v>
      </c>
      <c r="F55" s="186">
        <v>3679.6</v>
      </c>
      <c r="G55" s="7">
        <v>1485.2</v>
      </c>
      <c r="H55" s="109">
        <f>G55/$G$172</f>
        <v>4.0000000000000001E-3</v>
      </c>
      <c r="I55" s="154">
        <f>IF(E55=0,"0,0%",G55/E55)</f>
        <v>1</v>
      </c>
      <c r="J55" s="110">
        <f t="shared" si="46"/>
        <v>-1638.9</v>
      </c>
      <c r="K55" s="109">
        <f t="shared" si="47"/>
        <v>0.47499999999999998</v>
      </c>
      <c r="L55" s="139">
        <f>G55-F55</f>
        <v>-2194.4</v>
      </c>
    </row>
    <row r="56" spans="1:12" x14ac:dyDescent="0.2">
      <c r="A56" s="17"/>
      <c r="B56" s="10" t="s">
        <v>27</v>
      </c>
      <c r="C56" s="130"/>
      <c r="D56" s="31"/>
      <c r="E56" s="7"/>
      <c r="F56" s="186"/>
      <c r="G56" s="7"/>
      <c r="H56" s="109"/>
      <c r="I56" s="109"/>
      <c r="J56" s="110"/>
      <c r="K56" s="109"/>
      <c r="L56" s="108"/>
    </row>
    <row r="57" spans="1:12" s="49" customFormat="1" ht="40.5" x14ac:dyDescent="0.2">
      <c r="A57" s="17"/>
      <c r="B57" s="40" t="s">
        <v>166</v>
      </c>
      <c r="C57" s="179">
        <v>3124.1</v>
      </c>
      <c r="D57" s="41">
        <v>3124.1</v>
      </c>
      <c r="E57" s="41">
        <v>1485.2</v>
      </c>
      <c r="F57" s="187">
        <v>1274</v>
      </c>
      <c r="G57" s="41">
        <v>1485.2</v>
      </c>
      <c r="H57" s="118">
        <f>G57/$G$172</f>
        <v>4.0000000000000001E-3</v>
      </c>
      <c r="I57" s="154">
        <f>IF(E57=0,"0,0%",G57/E57)</f>
        <v>1</v>
      </c>
      <c r="J57" s="119">
        <f>G57-D57</f>
        <v>-1638.9</v>
      </c>
      <c r="K57" s="118">
        <f>G57/D57</f>
        <v>0.47499999999999998</v>
      </c>
      <c r="L57" s="124">
        <f>G57-F57</f>
        <v>211.2</v>
      </c>
    </row>
    <row r="58" spans="1:12" ht="40.5" x14ac:dyDescent="0.2">
      <c r="A58" s="17" t="s">
        <v>59</v>
      </c>
      <c r="B58" s="10" t="s">
        <v>133</v>
      </c>
      <c r="C58" s="130">
        <v>0</v>
      </c>
      <c r="D58" s="31">
        <v>0</v>
      </c>
      <c r="E58" s="7">
        <v>0</v>
      </c>
      <c r="F58" s="186">
        <v>131.30000000000001</v>
      </c>
      <c r="G58" s="7">
        <v>0</v>
      </c>
      <c r="H58" s="109">
        <f>G58/$G$172</f>
        <v>0</v>
      </c>
      <c r="I58" s="154" t="str">
        <f>IF(E58=0,"0,0%",G58/E58)</f>
        <v>0,0%</v>
      </c>
      <c r="J58" s="110">
        <f t="shared" si="46"/>
        <v>0</v>
      </c>
      <c r="K58" s="109" t="e">
        <f t="shared" si="47"/>
        <v>#DIV/0!</v>
      </c>
      <c r="L58" s="108">
        <f t="shared" ref="L58:L137" si="48">G58-F58</f>
        <v>-131.30000000000001</v>
      </c>
    </row>
    <row r="59" spans="1:12" hidden="1" x14ac:dyDescent="0.2">
      <c r="A59" s="17"/>
      <c r="B59" s="10" t="s">
        <v>27</v>
      </c>
      <c r="C59" s="130"/>
      <c r="D59" s="31"/>
      <c r="E59" s="7"/>
      <c r="F59" s="186"/>
      <c r="G59" s="7"/>
      <c r="H59" s="109"/>
      <c r="I59" s="109"/>
      <c r="J59" s="110"/>
      <c r="K59" s="109"/>
      <c r="L59" s="108"/>
    </row>
    <row r="60" spans="1:12" s="49" customFormat="1" ht="54" hidden="1" x14ac:dyDescent="0.2">
      <c r="A60" s="17"/>
      <c r="B60" s="40" t="s">
        <v>158</v>
      </c>
      <c r="C60" s="179">
        <v>0</v>
      </c>
      <c r="D60" s="41">
        <v>0</v>
      </c>
      <c r="E60" s="41">
        <v>0</v>
      </c>
      <c r="F60" s="187">
        <v>0</v>
      </c>
      <c r="G60" s="41">
        <v>0</v>
      </c>
      <c r="H60" s="118">
        <f>G60/$G$172</f>
        <v>0</v>
      </c>
      <c r="I60" s="154" t="str">
        <f>IF(E60=0,"0,0%",G60/E60)</f>
        <v>0,0%</v>
      </c>
      <c r="J60" s="119">
        <f>G60-D60</f>
        <v>0</v>
      </c>
      <c r="K60" s="118">
        <v>0</v>
      </c>
      <c r="L60" s="124">
        <f>G60-F60</f>
        <v>0</v>
      </c>
    </row>
    <row r="61" spans="1:12" hidden="1" x14ac:dyDescent="0.2">
      <c r="A61" s="17" t="s">
        <v>137</v>
      </c>
      <c r="B61" s="10" t="s">
        <v>138</v>
      </c>
      <c r="C61" s="130">
        <v>0</v>
      </c>
      <c r="D61" s="31">
        <v>0</v>
      </c>
      <c r="E61" s="7">
        <v>0</v>
      </c>
      <c r="F61" s="186">
        <v>0</v>
      </c>
      <c r="G61" s="7">
        <v>0</v>
      </c>
      <c r="H61" s="109">
        <f>G61/$G$172</f>
        <v>0</v>
      </c>
      <c r="I61" s="154" t="str">
        <f>IF(E61=0,"0,0%",G61/E61)</f>
        <v>0,0%</v>
      </c>
      <c r="J61" s="110">
        <f t="shared" si="46"/>
        <v>0</v>
      </c>
      <c r="K61" s="109">
        <v>0</v>
      </c>
      <c r="L61" s="108">
        <f t="shared" si="48"/>
        <v>0</v>
      </c>
    </row>
    <row r="62" spans="1:12" x14ac:dyDescent="0.2">
      <c r="A62" s="17" t="s">
        <v>78</v>
      </c>
      <c r="B62" s="10" t="s">
        <v>23</v>
      </c>
      <c r="C62" s="130">
        <v>3000</v>
      </c>
      <c r="D62" s="31">
        <v>3000</v>
      </c>
      <c r="E62" s="7">
        <v>0</v>
      </c>
      <c r="F62" s="186">
        <v>0</v>
      </c>
      <c r="G62" s="7">
        <v>0</v>
      </c>
      <c r="H62" s="109">
        <f>G62/$G$172</f>
        <v>0</v>
      </c>
      <c r="I62" s="154" t="str">
        <f>IF(E62=0,"0,0%",G62/E62)</f>
        <v>0,0%</v>
      </c>
      <c r="J62" s="110">
        <f t="shared" si="46"/>
        <v>-3000</v>
      </c>
      <c r="K62" s="109">
        <f t="shared" si="47"/>
        <v>0</v>
      </c>
      <c r="L62" s="108">
        <f t="shared" si="48"/>
        <v>0</v>
      </c>
    </row>
    <row r="63" spans="1:12" s="1" customFormat="1" x14ac:dyDescent="0.2">
      <c r="A63" s="17" t="s">
        <v>82</v>
      </c>
      <c r="B63" s="10" t="s">
        <v>134</v>
      </c>
      <c r="C63" s="130">
        <v>2721.9</v>
      </c>
      <c r="D63" s="31">
        <v>2921.9</v>
      </c>
      <c r="E63" s="7">
        <v>362.1</v>
      </c>
      <c r="F63" s="186">
        <v>436.8</v>
      </c>
      <c r="G63" s="7">
        <v>348.5</v>
      </c>
      <c r="H63" s="109">
        <f>G63/$G$172</f>
        <v>1E-3</v>
      </c>
      <c r="I63" s="154">
        <f>IF(E63=0,"0,0%",G63/E63)</f>
        <v>0.96199999999999997</v>
      </c>
      <c r="J63" s="110">
        <f t="shared" si="46"/>
        <v>-2573.4</v>
      </c>
      <c r="K63" s="109">
        <f t="shared" si="47"/>
        <v>0.11899999999999999</v>
      </c>
      <c r="L63" s="108">
        <f t="shared" si="48"/>
        <v>-88.3</v>
      </c>
    </row>
    <row r="64" spans="1:12" s="1" customFormat="1" hidden="1" x14ac:dyDescent="0.2">
      <c r="A64" s="17"/>
      <c r="B64" s="8" t="s">
        <v>27</v>
      </c>
      <c r="C64" s="130"/>
      <c r="D64" s="31"/>
      <c r="E64" s="7"/>
      <c r="F64" s="186"/>
      <c r="G64" s="7"/>
      <c r="H64" s="109"/>
      <c r="I64" s="109"/>
      <c r="J64" s="110"/>
      <c r="K64" s="109"/>
      <c r="L64" s="108"/>
    </row>
    <row r="65" spans="1:12" s="1" customFormat="1" ht="40.5" hidden="1" x14ac:dyDescent="0.2">
      <c r="A65" s="17"/>
      <c r="B65" s="9" t="s">
        <v>109</v>
      </c>
      <c r="C65" s="130"/>
      <c r="D65" s="31"/>
      <c r="E65" s="7"/>
      <c r="F65" s="186">
        <v>3021.7</v>
      </c>
      <c r="G65" s="7"/>
      <c r="H65" s="109">
        <f>G65/$G$172</f>
        <v>0</v>
      </c>
      <c r="I65" s="154" t="str">
        <f>IF(E65=0,"0,0%",G65/E65)</f>
        <v>0,0%</v>
      </c>
      <c r="J65" s="110">
        <f t="shared" si="46"/>
        <v>0</v>
      </c>
      <c r="K65" s="109" t="e">
        <f t="shared" si="47"/>
        <v>#DIV/0!</v>
      </c>
      <c r="L65" s="108">
        <f t="shared" si="48"/>
        <v>-3021.7</v>
      </c>
    </row>
    <row r="66" spans="1:12" s="1" customFormat="1" hidden="1" x14ac:dyDescent="0.2">
      <c r="A66" s="17"/>
      <c r="B66" s="9" t="s">
        <v>110</v>
      </c>
      <c r="C66" s="130"/>
      <c r="D66" s="31"/>
      <c r="E66" s="7"/>
      <c r="F66" s="186">
        <v>3058.2</v>
      </c>
      <c r="G66" s="7"/>
      <c r="H66" s="109">
        <f>G66/$G$172</f>
        <v>0</v>
      </c>
      <c r="I66" s="154" t="str">
        <f>IF(E66=0,"0,0%",G66/E66)</f>
        <v>0,0%</v>
      </c>
      <c r="J66" s="110">
        <f t="shared" si="46"/>
        <v>0</v>
      </c>
      <c r="K66" s="109" t="e">
        <f t="shared" si="47"/>
        <v>#DIV/0!</v>
      </c>
      <c r="L66" s="108">
        <f t="shared" si="48"/>
        <v>-3058.2</v>
      </c>
    </row>
    <row r="67" spans="1:12" s="1" customFormat="1" x14ac:dyDescent="0.2">
      <c r="A67" s="135"/>
      <c r="B67" s="191" t="s">
        <v>144</v>
      </c>
      <c r="C67" s="142"/>
      <c r="D67" s="142"/>
      <c r="E67" s="137"/>
      <c r="F67" s="137"/>
      <c r="G67" s="137"/>
      <c r="H67" s="109"/>
      <c r="I67" s="109"/>
      <c r="J67" s="110"/>
      <c r="K67" s="109"/>
      <c r="L67" s="108"/>
    </row>
    <row r="68" spans="1:12" x14ac:dyDescent="0.2">
      <c r="A68" s="127"/>
      <c r="B68" s="128" t="s">
        <v>111</v>
      </c>
      <c r="C68" s="137">
        <v>13720.5</v>
      </c>
      <c r="D68" s="137">
        <v>12263.2</v>
      </c>
      <c r="E68" s="137">
        <v>4780.1000000000004</v>
      </c>
      <c r="F68" s="137">
        <v>6892.7</v>
      </c>
      <c r="G68" s="137">
        <v>4780.1000000000004</v>
      </c>
      <c r="H68" s="109">
        <f>G68/$G$172</f>
        <v>1.4E-2</v>
      </c>
      <c r="I68" s="154">
        <f>IF(E68=0,"0,0%",G68/E68)</f>
        <v>1</v>
      </c>
      <c r="J68" s="110">
        <f t="shared" ref="J68:J70" si="49">G68-D68</f>
        <v>-7483.1</v>
      </c>
      <c r="K68" s="109">
        <f t="shared" ref="K68:K70" si="50">G68/D68</f>
        <v>0.39</v>
      </c>
      <c r="L68" s="108">
        <f t="shared" ref="L68:L70" si="51">G68-F68</f>
        <v>-2112.6</v>
      </c>
    </row>
    <row r="69" spans="1:12" x14ac:dyDescent="0.2">
      <c r="A69" s="135"/>
      <c r="B69" s="128" t="s">
        <v>114</v>
      </c>
      <c r="C69" s="137">
        <v>0</v>
      </c>
      <c r="D69" s="137">
        <v>0</v>
      </c>
      <c r="E69" s="137">
        <v>0</v>
      </c>
      <c r="F69" s="137">
        <v>237.6</v>
      </c>
      <c r="G69" s="137">
        <v>0</v>
      </c>
      <c r="H69" s="109">
        <f>G69/$G$172</f>
        <v>0</v>
      </c>
      <c r="I69" s="154" t="str">
        <f>IF(E69=0,"0,0%",G69/E69)</f>
        <v>0,0%</v>
      </c>
      <c r="J69" s="110">
        <f t="shared" ref="J69" si="52">G69-D69</f>
        <v>0</v>
      </c>
      <c r="K69" s="109" t="e">
        <f t="shared" ref="K69" si="53">G69/D69</f>
        <v>#DIV/0!</v>
      </c>
      <c r="L69" s="108">
        <f t="shared" ref="L69" si="54">G69-F69</f>
        <v>-237.6</v>
      </c>
    </row>
    <row r="70" spans="1:12" x14ac:dyDescent="0.2">
      <c r="A70" s="127"/>
      <c r="B70" s="145" t="s">
        <v>173</v>
      </c>
      <c r="C70" s="142">
        <v>2213</v>
      </c>
      <c r="D70" s="142">
        <v>2213</v>
      </c>
      <c r="E70" s="142">
        <v>132.19999999999999</v>
      </c>
      <c r="F70" s="142">
        <v>79.3</v>
      </c>
      <c r="G70" s="142">
        <v>118.6</v>
      </c>
      <c r="H70" s="109">
        <f>G70/$G$172</f>
        <v>0</v>
      </c>
      <c r="I70" s="154">
        <f>IF(E70=0,"0,0%",G70/E70)</f>
        <v>0.89700000000000002</v>
      </c>
      <c r="J70" s="110">
        <f t="shared" si="49"/>
        <v>-2094.4</v>
      </c>
      <c r="K70" s="109">
        <f t="shared" si="50"/>
        <v>5.3999999999999999E-2</v>
      </c>
      <c r="L70" s="108">
        <f t="shared" si="51"/>
        <v>39.299999999999997</v>
      </c>
    </row>
    <row r="71" spans="1:12" s="28" customFormat="1" ht="27" x14ac:dyDescent="0.2">
      <c r="A71" s="95" t="s">
        <v>98</v>
      </c>
      <c r="B71" s="101" t="s">
        <v>99</v>
      </c>
      <c r="C71" s="97">
        <f>C73+C75</f>
        <v>10923.5</v>
      </c>
      <c r="D71" s="97">
        <f t="shared" ref="D71:G71" si="55">D73+D75</f>
        <v>10923.5</v>
      </c>
      <c r="E71" s="97">
        <f t="shared" si="55"/>
        <v>5331.4</v>
      </c>
      <c r="F71" s="97">
        <f>F73+F75</f>
        <v>5014.3</v>
      </c>
      <c r="G71" s="97">
        <f t="shared" si="55"/>
        <v>5331.4</v>
      </c>
      <c r="H71" s="98">
        <f>G71/$G$172</f>
        <v>1.4999999999999999E-2</v>
      </c>
      <c r="I71" s="154">
        <f>IF(E71=0,"0,0%",G71/E71)</f>
        <v>1</v>
      </c>
      <c r="J71" s="99">
        <f t="shared" si="46"/>
        <v>-5592.1</v>
      </c>
      <c r="K71" s="98">
        <f t="shared" si="47"/>
        <v>0.48799999999999999</v>
      </c>
      <c r="L71" s="100">
        <f t="shared" si="48"/>
        <v>317.10000000000002</v>
      </c>
    </row>
    <row r="72" spans="1:12" s="28" customFormat="1" x14ac:dyDescent="0.2">
      <c r="A72" s="19"/>
      <c r="B72" s="205" t="s">
        <v>168</v>
      </c>
      <c r="C72" s="206"/>
      <c r="D72" s="206"/>
      <c r="E72" s="206"/>
      <c r="F72" s="206"/>
      <c r="G72" s="206"/>
      <c r="H72" s="207"/>
      <c r="I72" s="208"/>
      <c r="J72" s="209"/>
      <c r="K72" s="207"/>
      <c r="L72" s="42"/>
    </row>
    <row r="73" spans="1:12" s="49" customFormat="1" ht="40.5" hidden="1" x14ac:dyDescent="0.2">
      <c r="A73" s="17" t="s">
        <v>167</v>
      </c>
      <c r="B73" s="20" t="s">
        <v>121</v>
      </c>
      <c r="C73" s="180">
        <v>0</v>
      </c>
      <c r="D73" s="23">
        <v>0</v>
      </c>
      <c r="E73" s="23">
        <v>0</v>
      </c>
      <c r="F73" s="188">
        <v>0</v>
      </c>
      <c r="G73" s="23">
        <v>0</v>
      </c>
      <c r="H73" s="109">
        <f>G73/$G$172</f>
        <v>0</v>
      </c>
      <c r="I73" s="154" t="str">
        <f>IF(E73=0,"0,0%",G73/E73)</f>
        <v>0,0%</v>
      </c>
      <c r="J73" s="110">
        <f t="shared" si="46"/>
        <v>0</v>
      </c>
      <c r="K73" s="109" t="e">
        <f t="shared" si="47"/>
        <v>#DIV/0!</v>
      </c>
      <c r="L73" s="108">
        <f t="shared" si="48"/>
        <v>0</v>
      </c>
    </row>
    <row r="74" spans="1:12" s="49" customFormat="1" hidden="1" x14ac:dyDescent="0.2">
      <c r="A74" s="17"/>
      <c r="B74" s="8" t="s">
        <v>27</v>
      </c>
      <c r="C74" s="180"/>
      <c r="D74" s="23"/>
      <c r="E74" s="41"/>
      <c r="F74" s="187"/>
      <c r="G74" s="41"/>
      <c r="H74" s="109"/>
      <c r="I74" s="109"/>
      <c r="J74" s="110"/>
      <c r="K74" s="109"/>
      <c r="L74" s="108"/>
    </row>
    <row r="75" spans="1:12" s="49" customFormat="1" ht="40.5" x14ac:dyDescent="0.2">
      <c r="A75" s="17" t="s">
        <v>167</v>
      </c>
      <c r="B75" s="40" t="s">
        <v>169</v>
      </c>
      <c r="C75" s="179">
        <v>10923.5</v>
      </c>
      <c r="D75" s="41">
        <v>10923.5</v>
      </c>
      <c r="E75" s="41">
        <v>5331.4</v>
      </c>
      <c r="F75" s="187">
        <v>5014.3</v>
      </c>
      <c r="G75" s="41">
        <v>5331.4</v>
      </c>
      <c r="H75" s="118">
        <f>G75/$G$172</f>
        <v>1.4999999999999999E-2</v>
      </c>
      <c r="I75" s="154">
        <f>IF(E75=0,"0,0%",G75/E75)</f>
        <v>1</v>
      </c>
      <c r="J75" s="119">
        <f>G75-D75</f>
        <v>-5592.1</v>
      </c>
      <c r="K75" s="118">
        <f>G75/D75</f>
        <v>0.48799999999999999</v>
      </c>
      <c r="L75" s="124">
        <f>G75-F75</f>
        <v>317.10000000000002</v>
      </c>
    </row>
    <row r="76" spans="1:12" s="49" customFormat="1" hidden="1" x14ac:dyDescent="0.2">
      <c r="A76" s="135"/>
      <c r="B76" s="191" t="s">
        <v>145</v>
      </c>
      <c r="C76" s="143"/>
      <c r="D76" s="143"/>
      <c r="E76" s="144"/>
      <c r="F76" s="144"/>
      <c r="G76" s="144"/>
      <c r="H76" s="109"/>
      <c r="I76" s="109"/>
      <c r="J76" s="110"/>
      <c r="K76" s="109"/>
      <c r="L76" s="108"/>
    </row>
    <row r="77" spans="1:12" s="49" customFormat="1" hidden="1" x14ac:dyDescent="0.2">
      <c r="A77" s="135"/>
      <c r="B77" s="145" t="s">
        <v>120</v>
      </c>
      <c r="C77" s="143"/>
      <c r="D77" s="143"/>
      <c r="E77" s="144"/>
      <c r="F77" s="144">
        <v>0</v>
      </c>
      <c r="G77" s="144">
        <v>0</v>
      </c>
      <c r="H77" s="109">
        <f>G77/$G$172</f>
        <v>0</v>
      </c>
      <c r="I77" s="154" t="str">
        <f>IF(E77=0,"0,0%",G77/E77)</f>
        <v>0,0%</v>
      </c>
      <c r="J77" s="110">
        <f>G77-D77</f>
        <v>0</v>
      </c>
      <c r="K77" s="109" t="e">
        <f>G77/D77</f>
        <v>#DIV/0!</v>
      </c>
      <c r="L77" s="108">
        <f>G77-F77</f>
        <v>0</v>
      </c>
    </row>
    <row r="78" spans="1:12" s="28" customFormat="1" x14ac:dyDescent="0.2">
      <c r="A78" s="95" t="s">
        <v>24</v>
      </c>
      <c r="B78" s="96" t="s">
        <v>26</v>
      </c>
      <c r="C78" s="97">
        <f>C79+C83+C91</f>
        <v>281412.5</v>
      </c>
      <c r="D78" s="97">
        <f>D79+D83+D91</f>
        <v>323898.7</v>
      </c>
      <c r="E78" s="97">
        <f>E79+E83+E91</f>
        <v>127049.8</v>
      </c>
      <c r="F78" s="97">
        <f>F79+F83+F91</f>
        <v>135573.20000000001</v>
      </c>
      <c r="G78" s="97">
        <f>G79+G83+G91</f>
        <v>124648.2</v>
      </c>
      <c r="H78" s="98">
        <f>G78/$G$172</f>
        <v>0.36</v>
      </c>
      <c r="I78" s="154">
        <f>IF(E78=0,"0,0%",G78/E78)</f>
        <v>0.98099999999999998</v>
      </c>
      <c r="J78" s="99">
        <f t="shared" si="46"/>
        <v>-199250.5</v>
      </c>
      <c r="K78" s="98">
        <f t="shared" si="47"/>
        <v>0.38500000000000001</v>
      </c>
      <c r="L78" s="100">
        <f t="shared" si="48"/>
        <v>-10925</v>
      </c>
    </row>
    <row r="79" spans="1:12" s="28" customFormat="1" x14ac:dyDescent="0.2">
      <c r="A79" s="19" t="s">
        <v>50</v>
      </c>
      <c r="B79" s="229" t="s">
        <v>100</v>
      </c>
      <c r="C79" s="184">
        <v>25000</v>
      </c>
      <c r="D79" s="42">
        <v>25000</v>
      </c>
      <c r="E79" s="42">
        <v>10522.7</v>
      </c>
      <c r="F79" s="228">
        <f>F81</f>
        <v>13125.3</v>
      </c>
      <c r="G79" s="42">
        <v>10486.7</v>
      </c>
      <c r="H79" s="98">
        <f>G79/$G$172</f>
        <v>0.03</v>
      </c>
      <c r="I79" s="154">
        <f>IF(E79=0,"0,0%",G79/E79)</f>
        <v>0.997</v>
      </c>
      <c r="J79" s="99">
        <f t="shared" si="46"/>
        <v>-14513.3</v>
      </c>
      <c r="K79" s="98">
        <f t="shared" si="47"/>
        <v>0.41899999999999998</v>
      </c>
      <c r="L79" s="100">
        <f t="shared" si="48"/>
        <v>-2638.6</v>
      </c>
    </row>
    <row r="80" spans="1:12" x14ac:dyDescent="0.2">
      <c r="A80" s="3"/>
      <c r="B80" s="8" t="s">
        <v>27</v>
      </c>
      <c r="C80" s="129"/>
      <c r="D80" s="7"/>
      <c r="E80" s="7"/>
      <c r="F80" s="204"/>
      <c r="G80" s="22"/>
      <c r="H80" s="109"/>
      <c r="I80" s="109"/>
      <c r="J80" s="110"/>
      <c r="K80" s="109"/>
      <c r="L80" s="108"/>
    </row>
    <row r="81" spans="1:12" ht="54" x14ac:dyDescent="0.2">
      <c r="A81" s="3"/>
      <c r="B81" s="9" t="s">
        <v>124</v>
      </c>
      <c r="C81" s="129">
        <v>25000</v>
      </c>
      <c r="D81" s="7">
        <v>25000</v>
      </c>
      <c r="E81" s="7">
        <v>10522.7</v>
      </c>
      <c r="F81" s="186">
        <v>13125.3</v>
      </c>
      <c r="G81" s="7">
        <v>10486.7</v>
      </c>
      <c r="H81" s="109">
        <f>G81/$G$172</f>
        <v>0.03</v>
      </c>
      <c r="I81" s="154">
        <f>IF(E81=0,"0,0%",G81/E81)</f>
        <v>0.997</v>
      </c>
      <c r="J81" s="110">
        <f t="shared" si="46"/>
        <v>-14513.3</v>
      </c>
      <c r="K81" s="109">
        <f t="shared" si="47"/>
        <v>0.41899999999999998</v>
      </c>
      <c r="L81" s="108">
        <f t="shared" si="48"/>
        <v>-2638.6</v>
      </c>
    </row>
    <row r="82" spans="1:12" s="49" customFormat="1" hidden="1" x14ac:dyDescent="0.2">
      <c r="A82" s="17"/>
      <c r="B82" s="40" t="s">
        <v>159</v>
      </c>
      <c r="C82" s="179"/>
      <c r="D82" s="41"/>
      <c r="E82" s="41"/>
      <c r="F82" s="187">
        <v>0</v>
      </c>
      <c r="G82" s="41"/>
      <c r="H82" s="118">
        <f>G82/$G$172</f>
        <v>0</v>
      </c>
      <c r="I82" s="154" t="str">
        <f>IF(E82=0,"0,0%",G82/E82)</f>
        <v>0,0%</v>
      </c>
      <c r="J82" s="119">
        <f>G82-D82</f>
        <v>0</v>
      </c>
      <c r="K82" s="118" t="e">
        <f>G82/D82</f>
        <v>#DIV/0!</v>
      </c>
      <c r="L82" s="124">
        <f>G82-F82</f>
        <v>0</v>
      </c>
    </row>
    <row r="83" spans="1:12" s="28" customFormat="1" x14ac:dyDescent="0.2">
      <c r="A83" s="19" t="s">
        <v>101</v>
      </c>
      <c r="B83" s="229" t="s">
        <v>102</v>
      </c>
      <c r="C83" s="184">
        <v>254439.9</v>
      </c>
      <c r="D83" s="42">
        <f>D85+D86</f>
        <v>296926.09999999998</v>
      </c>
      <c r="E83" s="42">
        <f>E85+E86</f>
        <v>115443.1</v>
      </c>
      <c r="F83" s="228">
        <f>F85+F86+F87</f>
        <v>121371.6</v>
      </c>
      <c r="G83" s="42">
        <f>G85+G86</f>
        <v>113077.5</v>
      </c>
      <c r="H83" s="98">
        <f>G83/$G$172</f>
        <v>0.32700000000000001</v>
      </c>
      <c r="I83" s="154">
        <f>IF(E83=0,"0,0%",G83/E83)</f>
        <v>0.98</v>
      </c>
      <c r="J83" s="99">
        <f t="shared" si="46"/>
        <v>-183848.6</v>
      </c>
      <c r="K83" s="98">
        <f t="shared" si="47"/>
        <v>0.38100000000000001</v>
      </c>
      <c r="L83" s="100">
        <f t="shared" si="48"/>
        <v>-8294.1</v>
      </c>
    </row>
    <row r="84" spans="1:12" s="1" customFormat="1" x14ac:dyDescent="0.2">
      <c r="A84" s="3"/>
      <c r="B84" s="8" t="s">
        <v>27</v>
      </c>
      <c r="C84" s="129"/>
      <c r="D84" s="7"/>
      <c r="E84" s="7"/>
      <c r="F84" s="189"/>
      <c r="G84" s="44"/>
      <c r="H84" s="109"/>
      <c r="I84" s="109"/>
      <c r="J84" s="110"/>
      <c r="K84" s="109"/>
      <c r="L84" s="108"/>
    </row>
    <row r="85" spans="1:12" s="1" customFormat="1" ht="27" x14ac:dyDescent="0.2">
      <c r="A85" s="3"/>
      <c r="B85" s="9" t="s">
        <v>215</v>
      </c>
      <c r="C85" s="129">
        <v>196564.3</v>
      </c>
      <c r="D85" s="7">
        <f>100255.4+18748.5+71994.4+23037.7+8385.8</f>
        <v>222421.8</v>
      </c>
      <c r="E85" s="7">
        <f>79502.2+10226.5+22537.9</f>
        <v>112266.6</v>
      </c>
      <c r="F85" s="186">
        <v>120679.6</v>
      </c>
      <c r="G85" s="7">
        <f>78142.1+10226.5+22537.9</f>
        <v>110906.5</v>
      </c>
      <c r="H85" s="109">
        <f t="shared" ref="H85:H91" si="56">G85/$G$172</f>
        <v>0.32100000000000001</v>
      </c>
      <c r="I85" s="154">
        <f t="shared" ref="I85:I91" si="57">IF(E85=0,"0,0%",G85/E85)</f>
        <v>0.98799999999999999</v>
      </c>
      <c r="J85" s="110">
        <f t="shared" si="46"/>
        <v>-111515.3</v>
      </c>
      <c r="K85" s="109">
        <f t="shared" si="47"/>
        <v>0.499</v>
      </c>
      <c r="L85" s="108">
        <f t="shared" si="48"/>
        <v>-9773.1</v>
      </c>
    </row>
    <row r="86" spans="1:12" s="1" customFormat="1" ht="27" x14ac:dyDescent="0.2">
      <c r="A86" s="210" t="s">
        <v>170</v>
      </c>
      <c r="B86" s="9" t="s">
        <v>103</v>
      </c>
      <c r="C86" s="129">
        <v>57875.6</v>
      </c>
      <c r="D86" s="7">
        <f>171+17311.8+2481.7+30359.8+13813.8+1462.1+6731.3+2172.9-0.1</f>
        <v>74504.3</v>
      </c>
      <c r="E86" s="7">
        <f>171+1005.5+2000</f>
        <v>3176.5</v>
      </c>
      <c r="F86" s="186">
        <f>300+112.4</f>
        <v>412.4</v>
      </c>
      <c r="G86" s="7">
        <f>171+2000</f>
        <v>2171</v>
      </c>
      <c r="H86" s="109">
        <f t="shared" si="56"/>
        <v>6.0000000000000001E-3</v>
      </c>
      <c r="I86" s="154">
        <f t="shared" si="57"/>
        <v>0.68300000000000005</v>
      </c>
      <c r="J86" s="110">
        <f t="shared" si="46"/>
        <v>-72333.3</v>
      </c>
      <c r="K86" s="109">
        <f t="shared" si="47"/>
        <v>2.9000000000000001E-2</v>
      </c>
      <c r="L86" s="108">
        <f t="shared" si="48"/>
        <v>1758.6</v>
      </c>
    </row>
    <row r="87" spans="1:12" s="1" customFormat="1" ht="40.5" x14ac:dyDescent="0.2">
      <c r="A87" s="3"/>
      <c r="B87" s="9" t="s">
        <v>229</v>
      </c>
      <c r="C87" s="129">
        <v>0</v>
      </c>
      <c r="D87" s="7">
        <v>0</v>
      </c>
      <c r="E87" s="7">
        <v>0</v>
      </c>
      <c r="F87" s="186">
        <v>279.60000000000002</v>
      </c>
      <c r="G87" s="7">
        <v>0</v>
      </c>
      <c r="H87" s="109">
        <f t="shared" si="56"/>
        <v>0</v>
      </c>
      <c r="I87" s="154" t="str">
        <f t="shared" si="57"/>
        <v>0,0%</v>
      </c>
      <c r="J87" s="110">
        <f t="shared" si="46"/>
        <v>0</v>
      </c>
      <c r="K87" s="109" t="e">
        <f t="shared" si="47"/>
        <v>#DIV/0!</v>
      </c>
      <c r="L87" s="108">
        <f t="shared" si="48"/>
        <v>-279.60000000000002</v>
      </c>
    </row>
    <row r="88" spans="1:12" s="1" customFormat="1" ht="54" hidden="1" x14ac:dyDescent="0.2">
      <c r="A88" s="3"/>
      <c r="B88" s="9" t="s">
        <v>139</v>
      </c>
      <c r="C88" s="129"/>
      <c r="D88" s="7"/>
      <c r="E88" s="7"/>
      <c r="F88" s="186">
        <v>0</v>
      </c>
      <c r="G88" s="7">
        <v>0</v>
      </c>
      <c r="H88" s="109">
        <f t="shared" si="56"/>
        <v>0</v>
      </c>
      <c r="I88" s="154" t="str">
        <f t="shared" si="57"/>
        <v>0,0%</v>
      </c>
      <c r="J88" s="110">
        <f t="shared" si="46"/>
        <v>0</v>
      </c>
      <c r="K88" s="109" t="e">
        <f t="shared" si="47"/>
        <v>#DIV/0!</v>
      </c>
      <c r="L88" s="108">
        <f t="shared" si="48"/>
        <v>0</v>
      </c>
    </row>
    <row r="89" spans="1:12" s="1" customFormat="1" ht="40.5" hidden="1" x14ac:dyDescent="0.2">
      <c r="A89" s="3"/>
      <c r="B89" s="9" t="s">
        <v>104</v>
      </c>
      <c r="C89" s="129"/>
      <c r="D89" s="7"/>
      <c r="E89" s="7"/>
      <c r="F89" s="186">
        <v>0</v>
      </c>
      <c r="G89" s="7">
        <v>0</v>
      </c>
      <c r="H89" s="109">
        <f t="shared" si="56"/>
        <v>0</v>
      </c>
      <c r="I89" s="154" t="str">
        <f t="shared" si="57"/>
        <v>0,0%</v>
      </c>
      <c r="J89" s="110">
        <f t="shared" si="46"/>
        <v>0</v>
      </c>
      <c r="K89" s="109" t="e">
        <f>G89/D89</f>
        <v>#DIV/0!</v>
      </c>
      <c r="L89" s="108">
        <f t="shared" si="48"/>
        <v>0</v>
      </c>
    </row>
    <row r="90" spans="1:12" s="49" customFormat="1" hidden="1" x14ac:dyDescent="0.2">
      <c r="A90" s="17"/>
      <c r="B90" s="40" t="s">
        <v>159</v>
      </c>
      <c r="C90" s="179"/>
      <c r="D90" s="41"/>
      <c r="E90" s="41"/>
      <c r="F90" s="187">
        <v>0</v>
      </c>
      <c r="G90" s="41">
        <v>0</v>
      </c>
      <c r="H90" s="118">
        <f t="shared" si="56"/>
        <v>0</v>
      </c>
      <c r="I90" s="154" t="str">
        <f>IF(E90=0,"0,0%",G90/E90)</f>
        <v>0,0%</v>
      </c>
      <c r="J90" s="119">
        <f>G90-D90</f>
        <v>0</v>
      </c>
      <c r="K90" s="118" t="e">
        <f>G90/D90</f>
        <v>#DIV/0!</v>
      </c>
      <c r="L90" s="124">
        <f>G90-F90</f>
        <v>0</v>
      </c>
    </row>
    <row r="91" spans="1:12" s="28" customFormat="1" ht="27" x14ac:dyDescent="0.2">
      <c r="A91" s="19" t="s">
        <v>171</v>
      </c>
      <c r="B91" s="229" t="s">
        <v>151</v>
      </c>
      <c r="C91" s="184">
        <v>1972.6</v>
      </c>
      <c r="D91" s="42">
        <f>D93+D94</f>
        <v>1972.6</v>
      </c>
      <c r="E91" s="42">
        <f>E93+E94</f>
        <v>1084</v>
      </c>
      <c r="F91" s="228">
        <f>F93</f>
        <v>1076.3</v>
      </c>
      <c r="G91" s="42">
        <f>G93</f>
        <v>1084</v>
      </c>
      <c r="H91" s="98">
        <f t="shared" si="56"/>
        <v>3.0000000000000001E-3</v>
      </c>
      <c r="I91" s="154">
        <f t="shared" si="57"/>
        <v>1</v>
      </c>
      <c r="J91" s="99">
        <f t="shared" si="46"/>
        <v>-888.6</v>
      </c>
      <c r="K91" s="98">
        <f t="shared" si="47"/>
        <v>0.55000000000000004</v>
      </c>
      <c r="L91" s="100">
        <f>G91-F91</f>
        <v>7.7</v>
      </c>
    </row>
    <row r="92" spans="1:12" s="1" customFormat="1" x14ac:dyDescent="0.2">
      <c r="A92" s="3"/>
      <c r="B92" s="8" t="s">
        <v>27</v>
      </c>
      <c r="C92" s="129"/>
      <c r="D92" s="7"/>
      <c r="E92" s="7"/>
      <c r="F92" s="186"/>
      <c r="G92" s="7"/>
      <c r="H92" s="109"/>
      <c r="I92" s="109"/>
      <c r="J92" s="110"/>
      <c r="K92" s="109"/>
      <c r="L92" s="108"/>
    </row>
    <row r="93" spans="1:12" s="49" customFormat="1" ht="67.5" x14ac:dyDescent="0.2">
      <c r="A93" s="17"/>
      <c r="B93" s="40" t="s">
        <v>225</v>
      </c>
      <c r="C93" s="179">
        <v>1972.6</v>
      </c>
      <c r="D93" s="41">
        <v>1972.6</v>
      </c>
      <c r="E93" s="41">
        <v>1084</v>
      </c>
      <c r="F93" s="187">
        <v>1076.3</v>
      </c>
      <c r="G93" s="41">
        <v>1084</v>
      </c>
      <c r="H93" s="118">
        <f>G93/$G$172</f>
        <v>3.0000000000000001E-3</v>
      </c>
      <c r="I93" s="154">
        <f>IF(E93=0,"0,0%",G93/E93)</f>
        <v>1</v>
      </c>
      <c r="J93" s="119">
        <f>G93-D93</f>
        <v>-888.6</v>
      </c>
      <c r="K93" s="118">
        <f>G93/D93</f>
        <v>0.55000000000000004</v>
      </c>
      <c r="L93" s="124">
        <f>G93-F93</f>
        <v>7.7</v>
      </c>
    </row>
    <row r="94" spans="1:12" s="49" customFormat="1" ht="54" hidden="1" x14ac:dyDescent="0.2">
      <c r="A94" s="17"/>
      <c r="B94" s="40" t="s">
        <v>172</v>
      </c>
      <c r="C94" s="179">
        <v>0</v>
      </c>
      <c r="D94" s="41">
        <v>0</v>
      </c>
      <c r="E94" s="41">
        <v>0</v>
      </c>
      <c r="F94" s="187">
        <v>0</v>
      </c>
      <c r="G94" s="41">
        <v>0</v>
      </c>
      <c r="H94" s="118">
        <f>G94/$G$172</f>
        <v>0</v>
      </c>
      <c r="I94" s="154" t="str">
        <f>IF(E94=0,"0,0%",G94/E94)</f>
        <v>0,0%</v>
      </c>
      <c r="J94" s="119">
        <f>G94-D94</f>
        <v>0</v>
      </c>
      <c r="K94" s="118" t="e">
        <f>G94/D94</f>
        <v>#DIV/0!</v>
      </c>
      <c r="L94" s="124">
        <f>G94-F94</f>
        <v>0</v>
      </c>
    </row>
    <row r="95" spans="1:12" s="1" customFormat="1" x14ac:dyDescent="0.2">
      <c r="A95" s="146"/>
      <c r="B95" s="191" t="s">
        <v>146</v>
      </c>
      <c r="C95" s="137"/>
      <c r="D95" s="137"/>
      <c r="E95" s="137"/>
      <c r="F95" s="137"/>
      <c r="G95" s="137"/>
      <c r="H95" s="109"/>
      <c r="I95" s="109"/>
      <c r="J95" s="110"/>
      <c r="K95" s="109"/>
      <c r="L95" s="108"/>
    </row>
    <row r="96" spans="1:12" s="1" customFormat="1" x14ac:dyDescent="0.2">
      <c r="A96" s="146"/>
      <c r="B96" s="145" t="s">
        <v>173</v>
      </c>
      <c r="C96" s="137">
        <v>254439.9</v>
      </c>
      <c r="D96" s="137">
        <f>2481.7+30359.8+13813.8+1462.1+6731.3+2172.9+100255.4+18748.5+71994.4+23037.7</f>
        <v>271057.59999999998</v>
      </c>
      <c r="E96" s="137">
        <v>57581.9</v>
      </c>
      <c r="F96" s="137">
        <v>120679.6</v>
      </c>
      <c r="G96" s="137">
        <v>52584.1</v>
      </c>
      <c r="H96" s="109">
        <f>G96/$G$172</f>
        <v>0.152</v>
      </c>
      <c r="I96" s="154">
        <f>IF(E96=0,"0,0%",G96/E96)</f>
        <v>0.91300000000000003</v>
      </c>
      <c r="J96" s="110">
        <f t="shared" si="46"/>
        <v>-218473.5</v>
      </c>
      <c r="K96" s="109">
        <f t="shared" si="47"/>
        <v>0.19400000000000001</v>
      </c>
      <c r="L96" s="108">
        <f t="shared" si="48"/>
        <v>-68095.5</v>
      </c>
    </row>
    <row r="97" spans="1:12" s="28" customFormat="1" x14ac:dyDescent="0.2">
      <c r="A97" s="95" t="s">
        <v>22</v>
      </c>
      <c r="B97" s="102" t="s">
        <v>8</v>
      </c>
      <c r="C97" s="100">
        <f>C98+C111+C117+C108</f>
        <v>151347.6</v>
      </c>
      <c r="D97" s="100">
        <f>D98+D111+D117+D108</f>
        <v>160779.29999999999</v>
      </c>
      <c r="E97" s="100">
        <f>E98+E111+E117+E108</f>
        <v>56712.6</v>
      </c>
      <c r="F97" s="100">
        <f>F98+F111+F117+F108</f>
        <v>64164.3</v>
      </c>
      <c r="G97" s="100">
        <f>G98+G111+G117+G108</f>
        <v>56712.4</v>
      </c>
      <c r="H97" s="98">
        <f>G97/$G$172</f>
        <v>0.16400000000000001</v>
      </c>
      <c r="I97" s="154">
        <f>IF(E97=0,"0,0%",G97/E97)</f>
        <v>1</v>
      </c>
      <c r="J97" s="99">
        <f t="shared" si="46"/>
        <v>-104066.9</v>
      </c>
      <c r="K97" s="98">
        <f t="shared" si="47"/>
        <v>0.35299999999999998</v>
      </c>
      <c r="L97" s="100">
        <f t="shared" si="48"/>
        <v>-7451.9</v>
      </c>
    </row>
    <row r="98" spans="1:12" s="28" customFormat="1" x14ac:dyDescent="0.2">
      <c r="A98" s="19" t="s">
        <v>60</v>
      </c>
      <c r="B98" s="224" t="s">
        <v>77</v>
      </c>
      <c r="C98" s="184">
        <f>C100+C102+C103+C104+C105+C107</f>
        <v>43095.5</v>
      </c>
      <c r="D98" s="184">
        <f>D100+D102+D103+D104+D105+D107+D106+D101</f>
        <v>60273</v>
      </c>
      <c r="E98" s="184">
        <f>E100+E102+E103+E104+E105+E107+E106</f>
        <v>11178.8</v>
      </c>
      <c r="F98" s="184">
        <f>F100+F104+F105+F101</f>
        <v>13394.2</v>
      </c>
      <c r="G98" s="184">
        <f>G100+G102+G103+G104+G105+G107+G106</f>
        <v>11178.6</v>
      </c>
      <c r="H98" s="98">
        <f>G98/$G$172</f>
        <v>3.2000000000000001E-2</v>
      </c>
      <c r="I98" s="154">
        <f>IF(E98=0,"0,0%",G98/E98)</f>
        <v>1</v>
      </c>
      <c r="J98" s="99">
        <f t="shared" si="46"/>
        <v>-49094.400000000001</v>
      </c>
      <c r="K98" s="98">
        <f t="shared" si="47"/>
        <v>0.185</v>
      </c>
      <c r="L98" s="100">
        <f t="shared" si="48"/>
        <v>-2215.6</v>
      </c>
    </row>
    <row r="99" spans="1:12" x14ac:dyDescent="0.2">
      <c r="A99" s="17"/>
      <c r="B99" s="39" t="s">
        <v>27</v>
      </c>
      <c r="C99" s="181"/>
      <c r="D99" s="5"/>
      <c r="E99" s="5"/>
      <c r="F99" s="190"/>
      <c r="G99" s="5"/>
      <c r="H99" s="109"/>
      <c r="I99" s="109"/>
      <c r="J99" s="110"/>
      <c r="K99" s="109"/>
      <c r="L99" s="108"/>
    </row>
    <row r="100" spans="1:12" ht="40.5" x14ac:dyDescent="0.2">
      <c r="A100" s="17"/>
      <c r="B100" s="40" t="s">
        <v>79</v>
      </c>
      <c r="C100" s="179">
        <v>905.6</v>
      </c>
      <c r="D100" s="41">
        <v>905.6</v>
      </c>
      <c r="E100" s="41">
        <v>500.4</v>
      </c>
      <c r="F100" s="187">
        <v>599.20000000000005</v>
      </c>
      <c r="G100" s="41">
        <v>500.2</v>
      </c>
      <c r="H100" s="109">
        <f t="shared" ref="H100:H108" si="58">G100/$G$172</f>
        <v>1E-3</v>
      </c>
      <c r="I100" s="154">
        <f t="shared" ref="I100:I108" si="59">IF(E100=0,"0,0%",G100/E100)</f>
        <v>1</v>
      </c>
      <c r="J100" s="110">
        <f t="shared" si="46"/>
        <v>-405.4</v>
      </c>
      <c r="K100" s="109">
        <f t="shared" si="47"/>
        <v>0.55200000000000005</v>
      </c>
      <c r="L100" s="108">
        <f t="shared" si="48"/>
        <v>-99</v>
      </c>
    </row>
    <row r="101" spans="1:12" ht="27" x14ac:dyDescent="0.2">
      <c r="A101" s="17"/>
      <c r="B101" s="40" t="s">
        <v>230</v>
      </c>
      <c r="C101" s="179">
        <v>0</v>
      </c>
      <c r="D101" s="41">
        <f>386.8-0.1</f>
        <v>386.7</v>
      </c>
      <c r="E101" s="41">
        <v>0</v>
      </c>
      <c r="F101" s="187">
        <v>869.8</v>
      </c>
      <c r="G101" s="41">
        <v>0</v>
      </c>
      <c r="H101" s="109">
        <f t="shared" si="58"/>
        <v>0</v>
      </c>
      <c r="I101" s="154" t="str">
        <f t="shared" ref="I101" si="60">IF(E101=0,"0,0%",G101/E101)</f>
        <v>0,0%</v>
      </c>
      <c r="J101" s="110">
        <f t="shared" ref="J101" si="61">G101-D101</f>
        <v>-386.7</v>
      </c>
      <c r="K101" s="109">
        <f t="shared" ref="K101" si="62">G101/D101</f>
        <v>0</v>
      </c>
      <c r="L101" s="108">
        <f t="shared" ref="L101" si="63">G101-F101</f>
        <v>-869.8</v>
      </c>
    </row>
    <row r="102" spans="1:12" ht="27" x14ac:dyDescent="0.2">
      <c r="A102" s="17"/>
      <c r="B102" s="40" t="s">
        <v>174</v>
      </c>
      <c r="C102" s="179">
        <v>2966</v>
      </c>
      <c r="D102" s="41">
        <v>2875.7</v>
      </c>
      <c r="E102" s="41">
        <v>0</v>
      </c>
      <c r="F102" s="187">
        <v>0</v>
      </c>
      <c r="G102" s="41">
        <v>0</v>
      </c>
      <c r="H102" s="109">
        <f t="shared" si="58"/>
        <v>0</v>
      </c>
      <c r="I102" s="154" t="str">
        <f t="shared" si="59"/>
        <v>0,0%</v>
      </c>
      <c r="J102" s="110">
        <f t="shared" ref="J102" si="64">G102-D102</f>
        <v>-2875.7</v>
      </c>
      <c r="K102" s="109">
        <f t="shared" ref="K102" si="65">G102/D102</f>
        <v>0</v>
      </c>
      <c r="L102" s="108">
        <f t="shared" ref="L102" si="66">G102-F102</f>
        <v>0</v>
      </c>
    </row>
    <row r="103" spans="1:12" x14ac:dyDescent="0.2">
      <c r="A103" s="17"/>
      <c r="B103" s="40" t="s">
        <v>211</v>
      </c>
      <c r="C103" s="179">
        <v>25933.7</v>
      </c>
      <c r="D103" s="41">
        <v>25933.7</v>
      </c>
      <c r="E103" s="41">
        <v>0</v>
      </c>
      <c r="F103" s="187">
        <v>0</v>
      </c>
      <c r="G103" s="41">
        <v>0</v>
      </c>
      <c r="H103" s="109">
        <f t="shared" si="58"/>
        <v>0</v>
      </c>
      <c r="I103" s="154" t="str">
        <f t="shared" si="59"/>
        <v>0,0%</v>
      </c>
      <c r="J103" s="110">
        <f t="shared" ref="J103" si="67">G103-D103</f>
        <v>-25933.7</v>
      </c>
      <c r="K103" s="109">
        <f t="shared" ref="K103" si="68">G103/D103</f>
        <v>0</v>
      </c>
      <c r="L103" s="108">
        <f t="shared" ref="L103" si="69">G103-F103</f>
        <v>0</v>
      </c>
    </row>
    <row r="104" spans="1:12" x14ac:dyDescent="0.2">
      <c r="A104" s="17"/>
      <c r="B104" s="40" t="s">
        <v>213</v>
      </c>
      <c r="C104" s="179">
        <v>2314.6</v>
      </c>
      <c r="D104" s="41">
        <v>2209.8000000000002</v>
      </c>
      <c r="E104" s="41">
        <f>953.4+385</f>
        <v>1338.4</v>
      </c>
      <c r="F104" s="187">
        <v>823.9</v>
      </c>
      <c r="G104" s="41">
        <f>953.4+385</f>
        <v>1338.4</v>
      </c>
      <c r="H104" s="109">
        <f t="shared" si="58"/>
        <v>4.0000000000000001E-3</v>
      </c>
      <c r="I104" s="154">
        <f t="shared" si="59"/>
        <v>1</v>
      </c>
      <c r="J104" s="110">
        <f t="shared" ref="J104:J106" si="70">G104-D104</f>
        <v>-871.4</v>
      </c>
      <c r="K104" s="109">
        <f t="shared" ref="K104" si="71">G104/D104</f>
        <v>0.60599999999999998</v>
      </c>
      <c r="L104" s="108">
        <f t="shared" ref="L104" si="72">G104-F104</f>
        <v>514.5</v>
      </c>
    </row>
    <row r="105" spans="1:12" ht="27" x14ac:dyDescent="0.2">
      <c r="A105" s="17"/>
      <c r="B105" s="40" t="s">
        <v>212</v>
      </c>
      <c r="C105" s="179">
        <v>8975.6</v>
      </c>
      <c r="D105" s="41">
        <v>12731.3</v>
      </c>
      <c r="E105" s="41">
        <f>7195.7+1144.4-0.1</f>
        <v>8340</v>
      </c>
      <c r="F105" s="187">
        <f>11101.3</f>
        <v>11101.3</v>
      </c>
      <c r="G105" s="41">
        <f>7195.7+1144.3</f>
        <v>8340</v>
      </c>
      <c r="H105" s="109">
        <f t="shared" si="58"/>
        <v>2.4E-2</v>
      </c>
      <c r="I105" s="154">
        <f t="shared" si="59"/>
        <v>1</v>
      </c>
      <c r="J105" s="110">
        <f t="shared" si="70"/>
        <v>-4391.3</v>
      </c>
      <c r="K105" s="109">
        <f t="shared" ref="K105:K106" si="73">G105/D105</f>
        <v>0.65500000000000003</v>
      </c>
      <c r="L105" s="108">
        <f t="shared" ref="L105:L106" si="74">G105-F105</f>
        <v>-2761.3</v>
      </c>
    </row>
    <row r="106" spans="1:12" ht="27" x14ac:dyDescent="0.2">
      <c r="A106" s="17"/>
      <c r="B106" s="40" t="s">
        <v>216</v>
      </c>
      <c r="C106" s="179">
        <v>0</v>
      </c>
      <c r="D106" s="41">
        <v>12666.1</v>
      </c>
      <c r="E106" s="41">
        <v>1000</v>
      </c>
      <c r="F106" s="187">
        <v>0</v>
      </c>
      <c r="G106" s="41">
        <v>1000</v>
      </c>
      <c r="H106" s="109">
        <f t="shared" si="58"/>
        <v>3.0000000000000001E-3</v>
      </c>
      <c r="I106" s="154">
        <f t="shared" si="59"/>
        <v>1</v>
      </c>
      <c r="J106" s="110">
        <f t="shared" si="70"/>
        <v>-11666.1</v>
      </c>
      <c r="K106" s="109">
        <f t="shared" si="73"/>
        <v>7.9000000000000001E-2</v>
      </c>
      <c r="L106" s="108">
        <f t="shared" si="74"/>
        <v>1000</v>
      </c>
    </row>
    <row r="107" spans="1:12" ht="27" x14ac:dyDescent="0.2">
      <c r="A107" s="17"/>
      <c r="B107" s="40" t="s">
        <v>175</v>
      </c>
      <c r="C107" s="179">
        <v>2000</v>
      </c>
      <c r="D107" s="41">
        <v>2564.1</v>
      </c>
      <c r="E107" s="41">
        <v>0</v>
      </c>
      <c r="F107" s="187">
        <v>0</v>
      </c>
      <c r="G107" s="41">
        <v>0</v>
      </c>
      <c r="H107" s="109">
        <f t="shared" si="58"/>
        <v>0</v>
      </c>
      <c r="I107" s="154" t="str">
        <f t="shared" si="59"/>
        <v>0,0%</v>
      </c>
      <c r="J107" s="110">
        <f t="shared" ref="J107:J108" si="75">G107-D107</f>
        <v>-2564.1</v>
      </c>
      <c r="K107" s="109">
        <f t="shared" ref="K107:K108" si="76">G107/D107</f>
        <v>0</v>
      </c>
      <c r="L107" s="108">
        <f t="shared" ref="L107:L108" si="77">G107-F107</f>
        <v>0</v>
      </c>
    </row>
    <row r="108" spans="1:12" s="28" customFormat="1" x14ac:dyDescent="0.2">
      <c r="A108" s="19" t="s">
        <v>176</v>
      </c>
      <c r="B108" s="205" t="s">
        <v>177</v>
      </c>
      <c r="C108" s="225">
        <v>0</v>
      </c>
      <c r="D108" s="206">
        <v>69.599999999999994</v>
      </c>
      <c r="E108" s="206">
        <v>0</v>
      </c>
      <c r="F108" s="226">
        <v>0</v>
      </c>
      <c r="G108" s="206">
        <v>0</v>
      </c>
      <c r="H108" s="98">
        <f t="shared" si="58"/>
        <v>0</v>
      </c>
      <c r="I108" s="154" t="str">
        <f t="shared" si="59"/>
        <v>0,0%</v>
      </c>
      <c r="J108" s="99">
        <f t="shared" si="75"/>
        <v>-69.599999999999994</v>
      </c>
      <c r="K108" s="98">
        <f t="shared" si="76"/>
        <v>0</v>
      </c>
      <c r="L108" s="100">
        <f t="shared" si="77"/>
        <v>0</v>
      </c>
    </row>
    <row r="109" spans="1:12" s="28" customFormat="1" hidden="1" x14ac:dyDescent="0.2">
      <c r="A109" s="19"/>
      <c r="B109" s="205" t="s">
        <v>27</v>
      </c>
      <c r="C109" s="227"/>
      <c r="D109" s="206"/>
      <c r="E109" s="42"/>
      <c r="F109" s="228"/>
      <c r="G109" s="42"/>
      <c r="H109" s="98"/>
      <c r="I109" s="98"/>
      <c r="J109" s="99"/>
      <c r="K109" s="98"/>
      <c r="L109" s="100"/>
    </row>
    <row r="110" spans="1:12" s="28" customFormat="1" hidden="1" x14ac:dyDescent="0.2">
      <c r="A110" s="19"/>
      <c r="B110" s="229" t="s">
        <v>105</v>
      </c>
      <c r="C110" s="225"/>
      <c r="D110" s="206"/>
      <c r="E110" s="42"/>
      <c r="F110" s="228">
        <v>11256.6</v>
      </c>
      <c r="G110" s="42"/>
      <c r="H110" s="98">
        <f>G110/$G$172</f>
        <v>0</v>
      </c>
      <c r="I110" s="154" t="str">
        <f>IF(E110=0,"0,0%",G110/E110)</f>
        <v>0,0%</v>
      </c>
      <c r="J110" s="99">
        <f t="shared" ref="J110" si="78">G110-D110</f>
        <v>0</v>
      </c>
      <c r="K110" s="98" t="e">
        <f t="shared" ref="K110" si="79">G110/D110</f>
        <v>#DIV/0!</v>
      </c>
      <c r="L110" s="100">
        <f t="shared" ref="L110" si="80">G110-F110</f>
        <v>-11256.6</v>
      </c>
    </row>
    <row r="111" spans="1:12" s="28" customFormat="1" x14ac:dyDescent="0.2">
      <c r="A111" s="19" t="s">
        <v>44</v>
      </c>
      <c r="B111" s="205" t="s">
        <v>45</v>
      </c>
      <c r="C111" s="225">
        <f>C113+C114+C115+C116</f>
        <v>107232.7</v>
      </c>
      <c r="D111" s="206">
        <f>D113+D114+D115+D116</f>
        <v>99417.3</v>
      </c>
      <c r="E111" s="206">
        <f>E113+E114+E115+E116</f>
        <v>45131.199999999997</v>
      </c>
      <c r="F111" s="226">
        <f>F113+F114+F115+F116</f>
        <v>49600.7</v>
      </c>
      <c r="G111" s="206">
        <f>G113+G114+G115+G116</f>
        <v>45131.199999999997</v>
      </c>
      <c r="H111" s="98">
        <f>G111/$G$172</f>
        <v>0.13</v>
      </c>
      <c r="I111" s="154">
        <f>IF(E111=0,"0,0%",G111/E111)</f>
        <v>1</v>
      </c>
      <c r="J111" s="99">
        <f t="shared" si="46"/>
        <v>-54286.1</v>
      </c>
      <c r="K111" s="98">
        <f t="shared" si="47"/>
        <v>0.45400000000000001</v>
      </c>
      <c r="L111" s="100">
        <f t="shared" si="48"/>
        <v>-4469.5</v>
      </c>
    </row>
    <row r="112" spans="1:12" x14ac:dyDescent="0.2">
      <c r="A112" s="17"/>
      <c r="B112" s="10" t="s">
        <v>27</v>
      </c>
      <c r="C112" s="182"/>
      <c r="D112" s="31"/>
      <c r="E112" s="7"/>
      <c r="F112" s="186"/>
      <c r="G112" s="7"/>
      <c r="H112" s="109"/>
      <c r="I112" s="109"/>
      <c r="J112" s="110"/>
      <c r="K112" s="109"/>
      <c r="L112" s="108"/>
    </row>
    <row r="113" spans="1:12" x14ac:dyDescent="0.2">
      <c r="A113" s="17"/>
      <c r="B113" s="9" t="s">
        <v>105</v>
      </c>
      <c r="C113" s="130">
        <v>60324.2</v>
      </c>
      <c r="D113" s="31">
        <f>58986.8+1337.4</f>
        <v>60324.2</v>
      </c>
      <c r="E113" s="7">
        <f>25210.6+1337.4</f>
        <v>26548</v>
      </c>
      <c r="F113" s="186">
        <f>29385.2+0.1</f>
        <v>29385.3</v>
      </c>
      <c r="G113" s="7">
        <f>25210.6+1337.4</f>
        <v>26548</v>
      </c>
      <c r="H113" s="109">
        <f t="shared" ref="H113:H118" si="81">G113/$G$172</f>
        <v>7.6999999999999999E-2</v>
      </c>
      <c r="I113" s="154">
        <f t="shared" ref="I113:I118" si="82">IF(E113=0,"0,0%",G113/E113)</f>
        <v>1</v>
      </c>
      <c r="J113" s="110">
        <f t="shared" si="46"/>
        <v>-33776.199999999997</v>
      </c>
      <c r="K113" s="109">
        <f t="shared" si="47"/>
        <v>0.44</v>
      </c>
      <c r="L113" s="108">
        <f t="shared" si="48"/>
        <v>-2837.3</v>
      </c>
    </row>
    <row r="114" spans="1:12" x14ac:dyDescent="0.2">
      <c r="A114" s="17"/>
      <c r="B114" s="9" t="s">
        <v>106</v>
      </c>
      <c r="C114" s="130">
        <v>29448.1</v>
      </c>
      <c r="D114" s="31">
        <f>7672.5+9060+1441.2</f>
        <v>18173.7</v>
      </c>
      <c r="E114" s="7">
        <f>7672.5+1441.2</f>
        <v>9113.7000000000007</v>
      </c>
      <c r="F114" s="186">
        <v>11653.7</v>
      </c>
      <c r="G114" s="7">
        <f>7672.5+1441.2</f>
        <v>9113.7000000000007</v>
      </c>
      <c r="H114" s="109">
        <f t="shared" si="81"/>
        <v>2.5999999999999999E-2</v>
      </c>
      <c r="I114" s="154">
        <f t="shared" si="82"/>
        <v>1</v>
      </c>
      <c r="J114" s="110">
        <f t="shared" si="46"/>
        <v>-9060</v>
      </c>
      <c r="K114" s="109">
        <f t="shared" si="47"/>
        <v>0.501</v>
      </c>
      <c r="L114" s="108">
        <f t="shared" si="48"/>
        <v>-2540</v>
      </c>
    </row>
    <row r="115" spans="1:12" x14ac:dyDescent="0.2">
      <c r="A115" s="17"/>
      <c r="B115" s="9" t="s">
        <v>107</v>
      </c>
      <c r="C115" s="130">
        <f>2641.2+7219.2</f>
        <v>9860.4</v>
      </c>
      <c r="D115" s="31">
        <f>2641.2+6960+259.2</f>
        <v>9860.4</v>
      </c>
      <c r="E115" s="7">
        <v>840</v>
      </c>
      <c r="F115" s="186">
        <v>3268.9</v>
      </c>
      <c r="G115" s="7">
        <v>840</v>
      </c>
      <c r="H115" s="109">
        <f t="shared" si="81"/>
        <v>2E-3</v>
      </c>
      <c r="I115" s="154">
        <f t="shared" si="82"/>
        <v>1</v>
      </c>
      <c r="J115" s="110">
        <f t="shared" si="46"/>
        <v>-9020.4</v>
      </c>
      <c r="K115" s="109">
        <f t="shared" si="47"/>
        <v>8.5000000000000006E-2</v>
      </c>
      <c r="L115" s="108">
        <f t="shared" si="48"/>
        <v>-2428.9</v>
      </c>
    </row>
    <row r="116" spans="1:12" ht="27" x14ac:dyDescent="0.2">
      <c r="A116" s="17"/>
      <c r="B116" s="9" t="s">
        <v>108</v>
      </c>
      <c r="C116" s="130">
        <v>7600</v>
      </c>
      <c r="D116" s="31">
        <f>7340.8+1029.5+1400+1029.5+259.2</f>
        <v>11059</v>
      </c>
      <c r="E116" s="7">
        <f>7340.8+1029.5+259.2</f>
        <v>8629.5</v>
      </c>
      <c r="F116" s="186">
        <v>5292.8</v>
      </c>
      <c r="G116" s="7">
        <f>7340.8+1029.5+259.2</f>
        <v>8629.5</v>
      </c>
      <c r="H116" s="109">
        <f t="shared" si="81"/>
        <v>2.5000000000000001E-2</v>
      </c>
      <c r="I116" s="154">
        <f t="shared" si="82"/>
        <v>1</v>
      </c>
      <c r="J116" s="110">
        <f t="shared" si="46"/>
        <v>-2429.5</v>
      </c>
      <c r="K116" s="109">
        <f t="shared" si="47"/>
        <v>0.78</v>
      </c>
      <c r="L116" s="108">
        <f t="shared" si="48"/>
        <v>3336.7</v>
      </c>
    </row>
    <row r="117" spans="1:12" s="28" customFormat="1" ht="27" x14ac:dyDescent="0.2">
      <c r="A117" s="19" t="s">
        <v>61</v>
      </c>
      <c r="B117" s="229" t="s">
        <v>62</v>
      </c>
      <c r="C117" s="225">
        <v>1019.4</v>
      </c>
      <c r="D117" s="206">
        <f>D118</f>
        <v>1019.4</v>
      </c>
      <c r="E117" s="206">
        <f>E118</f>
        <v>402.6</v>
      </c>
      <c r="F117" s="228">
        <f>F118+F119</f>
        <v>1169.4000000000001</v>
      </c>
      <c r="G117" s="42">
        <f>G118</f>
        <v>402.6</v>
      </c>
      <c r="H117" s="98">
        <f t="shared" si="81"/>
        <v>1E-3</v>
      </c>
      <c r="I117" s="154">
        <f t="shared" si="82"/>
        <v>1</v>
      </c>
      <c r="J117" s="99">
        <f t="shared" si="46"/>
        <v>-616.79999999999995</v>
      </c>
      <c r="K117" s="98">
        <f t="shared" si="47"/>
        <v>0.39500000000000002</v>
      </c>
      <c r="L117" s="100">
        <f t="shared" si="48"/>
        <v>-766.8</v>
      </c>
    </row>
    <row r="118" spans="1:12" s="1" customFormat="1" x14ac:dyDescent="0.2">
      <c r="A118" s="17"/>
      <c r="B118" s="9" t="s">
        <v>214</v>
      </c>
      <c r="C118" s="130">
        <v>1019.4</v>
      </c>
      <c r="D118" s="31">
        <v>1019.4</v>
      </c>
      <c r="E118" s="7">
        <v>402.6</v>
      </c>
      <c r="F118" s="186">
        <v>370.6</v>
      </c>
      <c r="G118" s="7">
        <v>402.6</v>
      </c>
      <c r="H118" s="109">
        <f t="shared" si="81"/>
        <v>1E-3</v>
      </c>
      <c r="I118" s="154">
        <f t="shared" si="82"/>
        <v>1</v>
      </c>
      <c r="J118" s="110">
        <f t="shared" ref="J118" si="83">G118-D118</f>
        <v>-616.79999999999995</v>
      </c>
      <c r="K118" s="109">
        <f t="shared" ref="K118" si="84">G118/D118</f>
        <v>0.39500000000000002</v>
      </c>
      <c r="L118" s="108">
        <f t="shared" ref="L118" si="85">G118-F118</f>
        <v>32</v>
      </c>
    </row>
    <row r="119" spans="1:12" s="1" customFormat="1" x14ac:dyDescent="0.2">
      <c r="A119" s="17"/>
      <c r="B119" s="9" t="s">
        <v>219</v>
      </c>
      <c r="C119" s="130">
        <v>0</v>
      </c>
      <c r="D119" s="31">
        <v>0</v>
      </c>
      <c r="E119" s="7">
        <v>0</v>
      </c>
      <c r="F119" s="186">
        <v>798.8</v>
      </c>
      <c r="G119" s="7">
        <v>0</v>
      </c>
      <c r="H119" s="109">
        <f t="shared" ref="H119" si="86">G119/$G$172</f>
        <v>0</v>
      </c>
      <c r="I119" s="154" t="str">
        <f t="shared" ref="I119" si="87">IF(E119=0,"0,0%",G119/E119)</f>
        <v>0,0%</v>
      </c>
      <c r="J119" s="110">
        <f t="shared" ref="J119" si="88">G119-D119</f>
        <v>0</v>
      </c>
      <c r="K119" s="109">
        <v>0</v>
      </c>
      <c r="L119" s="108">
        <f t="shared" ref="L119" si="89">G119-F119</f>
        <v>-798.8</v>
      </c>
    </row>
    <row r="120" spans="1:12" x14ac:dyDescent="0.2">
      <c r="A120" s="135"/>
      <c r="B120" s="136" t="s">
        <v>147</v>
      </c>
      <c r="C120" s="136"/>
      <c r="D120" s="137"/>
      <c r="E120" s="137"/>
      <c r="F120" s="137"/>
      <c r="G120" s="137"/>
      <c r="H120" s="109"/>
      <c r="I120" s="109"/>
      <c r="J120" s="110"/>
      <c r="K120" s="109"/>
      <c r="L120" s="108"/>
    </row>
    <row r="121" spans="1:12" x14ac:dyDescent="0.2">
      <c r="A121" s="127"/>
      <c r="B121" s="128" t="s">
        <v>111</v>
      </c>
      <c r="C121" s="129">
        <v>0</v>
      </c>
      <c r="D121" s="129">
        <v>0</v>
      </c>
      <c r="E121" s="129">
        <v>0</v>
      </c>
      <c r="F121" s="129">
        <v>702.2</v>
      </c>
      <c r="G121" s="129">
        <v>0</v>
      </c>
      <c r="H121" s="109">
        <f t="shared" ref="H121:H126" si="90">G121/$G$172</f>
        <v>0</v>
      </c>
      <c r="I121" s="154" t="str">
        <f t="shared" ref="I121:I126" si="91">IF(E121=0,"0,0%",G121/E121)</f>
        <v>0,0%</v>
      </c>
      <c r="J121" s="110">
        <f>G121-D121</f>
        <v>0</v>
      </c>
      <c r="K121" s="109">
        <v>0</v>
      </c>
      <c r="L121" s="108">
        <f>G121-F121</f>
        <v>-702.2</v>
      </c>
    </row>
    <row r="122" spans="1:12" s="195" customFormat="1" hidden="1" x14ac:dyDescent="0.2">
      <c r="A122" s="197"/>
      <c r="B122" s="198" t="s">
        <v>159</v>
      </c>
      <c r="C122" s="199"/>
      <c r="D122" s="199"/>
      <c r="E122" s="199"/>
      <c r="F122" s="199">
        <v>0</v>
      </c>
      <c r="G122" s="199">
        <v>0</v>
      </c>
      <c r="H122" s="192">
        <f t="shared" si="90"/>
        <v>0</v>
      </c>
      <c r="I122" s="196" t="str">
        <f>IF(E122=0,"0,0%",G122/E122)</f>
        <v>0,0%</v>
      </c>
      <c r="J122" s="193">
        <f>G122-D122</f>
        <v>0</v>
      </c>
      <c r="K122" s="192" t="e">
        <f>G122/D122</f>
        <v>#DIV/0!</v>
      </c>
      <c r="L122" s="194">
        <f>G122-F122</f>
        <v>0</v>
      </c>
    </row>
    <row r="123" spans="1:12" x14ac:dyDescent="0.2">
      <c r="A123" s="127"/>
      <c r="B123" s="145" t="s">
        <v>173</v>
      </c>
      <c r="C123" s="130">
        <v>111872.1</v>
      </c>
      <c r="D123" s="130">
        <v>117091.8</v>
      </c>
      <c r="E123" s="130">
        <v>47469.7</v>
      </c>
      <c r="F123" s="130">
        <v>48191</v>
      </c>
      <c r="G123" s="130">
        <v>47469.5</v>
      </c>
      <c r="H123" s="109">
        <f t="shared" si="90"/>
        <v>0.13700000000000001</v>
      </c>
      <c r="I123" s="154">
        <f t="shared" si="91"/>
        <v>1</v>
      </c>
      <c r="J123" s="110">
        <f>G123-D123</f>
        <v>-69622.3</v>
      </c>
      <c r="K123" s="109">
        <f>G123/D123</f>
        <v>0.40500000000000003</v>
      </c>
      <c r="L123" s="108">
        <f>G123-F123</f>
        <v>-721.5</v>
      </c>
    </row>
    <row r="124" spans="1:12" s="28" customFormat="1" x14ac:dyDescent="0.2">
      <c r="A124" s="95" t="s">
        <v>123</v>
      </c>
      <c r="B124" s="103" t="s">
        <v>122</v>
      </c>
      <c r="C124" s="97">
        <f>C125</f>
        <v>17334.900000000001</v>
      </c>
      <c r="D124" s="97">
        <f>D125</f>
        <v>17334.900000000001</v>
      </c>
      <c r="E124" s="97">
        <f>E125</f>
        <v>5624.1</v>
      </c>
      <c r="F124" s="97">
        <f>F125</f>
        <v>6751.3</v>
      </c>
      <c r="G124" s="97">
        <f>G125</f>
        <v>5624.1</v>
      </c>
      <c r="H124" s="98">
        <f t="shared" si="90"/>
        <v>1.6E-2</v>
      </c>
      <c r="I124" s="154">
        <f t="shared" si="91"/>
        <v>1</v>
      </c>
      <c r="J124" s="99">
        <f t="shared" si="46"/>
        <v>-11710.8</v>
      </c>
      <c r="K124" s="98">
        <f t="shared" si="47"/>
        <v>0.32400000000000001</v>
      </c>
      <c r="L124" s="100">
        <f t="shared" si="48"/>
        <v>-1127.2</v>
      </c>
    </row>
    <row r="125" spans="1:12" s="49" customFormat="1" x14ac:dyDescent="0.2">
      <c r="A125" s="132" t="s">
        <v>47</v>
      </c>
      <c r="B125" s="133" t="s">
        <v>56</v>
      </c>
      <c r="C125" s="124">
        <f>C126+C133</f>
        <v>17334.900000000001</v>
      </c>
      <c r="D125" s="124">
        <f>D126+D133</f>
        <v>17334.900000000001</v>
      </c>
      <c r="E125" s="124">
        <f>E126+E133</f>
        <v>5624.1</v>
      </c>
      <c r="F125" s="124">
        <f>F126+F133</f>
        <v>6751.3</v>
      </c>
      <c r="G125" s="124">
        <f>G126+G133</f>
        <v>5624.1</v>
      </c>
      <c r="H125" s="109">
        <f t="shared" si="90"/>
        <v>1.6E-2</v>
      </c>
      <c r="I125" s="154">
        <f t="shared" si="91"/>
        <v>1</v>
      </c>
      <c r="J125" s="110">
        <f t="shared" si="46"/>
        <v>-11710.8</v>
      </c>
      <c r="K125" s="109">
        <f t="shared" si="47"/>
        <v>0.32400000000000001</v>
      </c>
      <c r="L125" s="108">
        <f t="shared" si="48"/>
        <v>-1127.2</v>
      </c>
    </row>
    <row r="126" spans="1:12" ht="40.5" x14ac:dyDescent="0.2">
      <c r="A126" s="18">
        <v>611</v>
      </c>
      <c r="B126" s="9" t="s">
        <v>109</v>
      </c>
      <c r="C126" s="129">
        <v>14378.3</v>
      </c>
      <c r="D126" s="7">
        <v>14343.5</v>
      </c>
      <c r="E126" s="7">
        <v>5231.8</v>
      </c>
      <c r="F126" s="186">
        <v>5905.2</v>
      </c>
      <c r="G126" s="7">
        <v>5231.8</v>
      </c>
      <c r="H126" s="109">
        <f t="shared" si="90"/>
        <v>1.4999999999999999E-2</v>
      </c>
      <c r="I126" s="154">
        <f t="shared" si="91"/>
        <v>1</v>
      </c>
      <c r="J126" s="110">
        <f>G126-D126</f>
        <v>-9111.7000000000007</v>
      </c>
      <c r="K126" s="109">
        <f t="shared" si="47"/>
        <v>0.36499999999999999</v>
      </c>
      <c r="L126" s="108">
        <f>G126-F126</f>
        <v>-673.4</v>
      </c>
    </row>
    <row r="127" spans="1:12" x14ac:dyDescent="0.2">
      <c r="A127" s="135"/>
      <c r="B127" s="136" t="s">
        <v>27</v>
      </c>
      <c r="C127" s="136"/>
      <c r="D127" s="137"/>
      <c r="E127" s="137"/>
      <c r="F127" s="137"/>
      <c r="G127" s="137"/>
      <c r="H127" s="109"/>
      <c r="I127" s="109"/>
      <c r="J127" s="110"/>
      <c r="K127" s="109"/>
      <c r="L127" s="108"/>
    </row>
    <row r="128" spans="1:12" x14ac:dyDescent="0.2">
      <c r="A128" s="127"/>
      <c r="B128" s="128" t="s">
        <v>111</v>
      </c>
      <c r="C128" s="129">
        <v>12224.3</v>
      </c>
      <c r="D128" s="129">
        <v>12224.3</v>
      </c>
      <c r="E128" s="129">
        <v>4974.3</v>
      </c>
      <c r="F128" s="129">
        <v>5451.7</v>
      </c>
      <c r="G128" s="129">
        <v>4974.3</v>
      </c>
      <c r="H128" s="109">
        <f>G128/$G$172</f>
        <v>1.4E-2</v>
      </c>
      <c r="I128" s="154">
        <f t="shared" ref="I128:I140" si="92">IF(E128=0,"0,0%",G128/E128)</f>
        <v>1</v>
      </c>
      <c r="J128" s="110">
        <f>G128-D128</f>
        <v>-7250</v>
      </c>
      <c r="K128" s="109">
        <f>G128/D128</f>
        <v>0.40699999999999997</v>
      </c>
      <c r="L128" s="108">
        <f>G128-F128</f>
        <v>-477.4</v>
      </c>
    </row>
    <row r="129" spans="1:12" x14ac:dyDescent="0.2">
      <c r="A129" s="127"/>
      <c r="B129" s="128" t="s">
        <v>202</v>
      </c>
      <c r="C129" s="129">
        <v>112.6</v>
      </c>
      <c r="D129" s="129">
        <v>112.6</v>
      </c>
      <c r="E129" s="129">
        <v>27.5</v>
      </c>
      <c r="F129" s="129">
        <v>30.9</v>
      </c>
      <c r="G129" s="129">
        <v>27.5</v>
      </c>
      <c r="H129" s="109">
        <f>G129/$G$172</f>
        <v>0</v>
      </c>
      <c r="I129" s="154">
        <f t="shared" si="92"/>
        <v>1</v>
      </c>
      <c r="J129" s="110">
        <f>G129-D129</f>
        <v>-85.1</v>
      </c>
      <c r="K129" s="109">
        <f>G129/D129</f>
        <v>0.24399999999999999</v>
      </c>
      <c r="L129" s="108">
        <f>G129-F129</f>
        <v>-3.4</v>
      </c>
    </row>
    <row r="130" spans="1:12" x14ac:dyDescent="0.2">
      <c r="A130" s="127"/>
      <c r="B130" s="128" t="s">
        <v>114</v>
      </c>
      <c r="C130" s="129">
        <v>1024.0999999999999</v>
      </c>
      <c r="D130" s="129">
        <v>1024.0999999999999</v>
      </c>
      <c r="E130" s="129">
        <v>201.6</v>
      </c>
      <c r="F130" s="129">
        <v>314.39999999999998</v>
      </c>
      <c r="G130" s="129">
        <v>201.6</v>
      </c>
      <c r="H130" s="109">
        <f>G130/$G$172</f>
        <v>1E-3</v>
      </c>
      <c r="I130" s="154">
        <f t="shared" si="92"/>
        <v>1</v>
      </c>
      <c r="J130" s="110">
        <f>G130-D130</f>
        <v>-822.5</v>
      </c>
      <c r="K130" s="109">
        <f>G130/D130</f>
        <v>0.19700000000000001</v>
      </c>
      <c r="L130" s="108">
        <f>G130-F130</f>
        <v>-112.8</v>
      </c>
    </row>
    <row r="131" spans="1:12" x14ac:dyDescent="0.2">
      <c r="A131" s="127"/>
      <c r="B131" s="128" t="s">
        <v>200</v>
      </c>
      <c r="C131" s="129">
        <v>185</v>
      </c>
      <c r="D131" s="129">
        <v>174.6</v>
      </c>
      <c r="E131" s="129">
        <v>5.9</v>
      </c>
      <c r="F131" s="129">
        <v>72</v>
      </c>
      <c r="G131" s="129">
        <v>5.9</v>
      </c>
      <c r="H131" s="109">
        <f t="shared" ref="H131:H132" si="93">G131/$G$172</f>
        <v>0</v>
      </c>
      <c r="I131" s="154">
        <f t="shared" si="92"/>
        <v>1</v>
      </c>
      <c r="J131" s="110">
        <f>G131-D131</f>
        <v>-168.7</v>
      </c>
      <c r="K131" s="109">
        <f t="shared" ref="K131" si="94">G131/D131</f>
        <v>3.4000000000000002E-2</v>
      </c>
      <c r="L131" s="108">
        <f t="shared" ref="L131:L132" si="95">G131-F131</f>
        <v>-66.099999999999994</v>
      </c>
    </row>
    <row r="132" spans="1:12" x14ac:dyDescent="0.2">
      <c r="A132" s="127"/>
      <c r="B132" s="128" t="s">
        <v>201</v>
      </c>
      <c r="C132" s="129">
        <v>832.3</v>
      </c>
      <c r="D132" s="129">
        <v>807.9</v>
      </c>
      <c r="E132" s="129">
        <v>22.5</v>
      </c>
      <c r="F132" s="129">
        <v>36.1</v>
      </c>
      <c r="G132" s="129">
        <v>22.5</v>
      </c>
      <c r="H132" s="109">
        <f t="shared" si="93"/>
        <v>0</v>
      </c>
      <c r="I132" s="154">
        <f t="shared" si="92"/>
        <v>1</v>
      </c>
      <c r="J132" s="110">
        <f t="shared" ref="J132" si="96">G132-D132</f>
        <v>-785.4</v>
      </c>
      <c r="K132" s="109">
        <f>G132/D132</f>
        <v>2.8000000000000001E-2</v>
      </c>
      <c r="L132" s="108">
        <f t="shared" si="95"/>
        <v>-13.6</v>
      </c>
    </row>
    <row r="133" spans="1:12" x14ac:dyDescent="0.2">
      <c r="A133" s="18">
        <v>612</v>
      </c>
      <c r="B133" s="9" t="s">
        <v>110</v>
      </c>
      <c r="C133" s="129">
        <v>2956.6</v>
      </c>
      <c r="D133" s="7">
        <v>2991.4</v>
      </c>
      <c r="E133" s="7">
        <v>392.3</v>
      </c>
      <c r="F133" s="186">
        <v>846.1</v>
      </c>
      <c r="G133" s="7">
        <v>392.3</v>
      </c>
      <c r="H133" s="109">
        <f>G133/$G$172</f>
        <v>1E-3</v>
      </c>
      <c r="I133" s="154">
        <f>IF(E133=0,"0,0%",G133/E133)</f>
        <v>1</v>
      </c>
      <c r="J133" s="110">
        <f>G133-D133</f>
        <v>-2599.1</v>
      </c>
      <c r="K133" s="109">
        <f>G133/D133</f>
        <v>0.13100000000000001</v>
      </c>
      <c r="L133" s="108">
        <f>G133-F133</f>
        <v>-453.8</v>
      </c>
    </row>
    <row r="134" spans="1:12" x14ac:dyDescent="0.2">
      <c r="A134" s="127"/>
      <c r="B134" s="145" t="s">
        <v>27</v>
      </c>
      <c r="C134" s="130"/>
      <c r="D134" s="130"/>
      <c r="E134" s="130"/>
      <c r="F134" s="130"/>
      <c r="G134" s="130"/>
      <c r="H134" s="109"/>
      <c r="I134" s="154"/>
      <c r="J134" s="110"/>
      <c r="K134" s="109"/>
      <c r="L134" s="108"/>
    </row>
    <row r="135" spans="1:12" ht="27" x14ac:dyDescent="0.2">
      <c r="A135" s="127"/>
      <c r="B135" s="145" t="s">
        <v>208</v>
      </c>
      <c r="C135" s="130">
        <v>361.6</v>
      </c>
      <c r="D135" s="130">
        <v>396.4</v>
      </c>
      <c r="E135" s="130">
        <v>100.9</v>
      </c>
      <c r="F135" s="130">
        <v>105.4</v>
      </c>
      <c r="G135" s="130">
        <v>100.9</v>
      </c>
      <c r="H135" s="109">
        <f>G135/$G$172</f>
        <v>0</v>
      </c>
      <c r="I135" s="154">
        <f>IF(E135=0,"0,0%",G135/E135)</f>
        <v>1</v>
      </c>
      <c r="J135" s="110">
        <f>G135-D135</f>
        <v>-295.5</v>
      </c>
      <c r="K135" s="109">
        <f>G135/D135</f>
        <v>0.255</v>
      </c>
      <c r="L135" s="108">
        <f>G135-F135</f>
        <v>-4.5</v>
      </c>
    </row>
    <row r="136" spans="1:12" ht="54" x14ac:dyDescent="0.2">
      <c r="A136" s="127" t="s">
        <v>207</v>
      </c>
      <c r="B136" s="145" t="s">
        <v>203</v>
      </c>
      <c r="C136" s="130">
        <v>2595</v>
      </c>
      <c r="D136" s="130">
        <v>2595</v>
      </c>
      <c r="E136" s="130">
        <v>291.3</v>
      </c>
      <c r="F136" s="130">
        <v>740.7</v>
      </c>
      <c r="G136" s="130">
        <v>291.3</v>
      </c>
      <c r="H136" s="109">
        <f>G136/$G$172</f>
        <v>1E-3</v>
      </c>
      <c r="I136" s="154">
        <f>IF(E136=0,"0,0%",G136/E136)</f>
        <v>1</v>
      </c>
      <c r="J136" s="110">
        <f>G136-D136</f>
        <v>-2303.6999999999998</v>
      </c>
      <c r="K136" s="109">
        <f>G136/D136</f>
        <v>0.112</v>
      </c>
      <c r="L136" s="108">
        <f>G136-F136</f>
        <v>-449.4</v>
      </c>
    </row>
    <row r="137" spans="1:12" s="28" customFormat="1" x14ac:dyDescent="0.2">
      <c r="A137" s="95" t="s">
        <v>65</v>
      </c>
      <c r="B137" s="101" t="s">
        <v>112</v>
      </c>
      <c r="C137" s="97">
        <f>C138</f>
        <v>66766.8</v>
      </c>
      <c r="D137" s="222">
        <f>D138</f>
        <v>70517.899999999994</v>
      </c>
      <c r="E137" s="97">
        <f>E138</f>
        <v>30548.2</v>
      </c>
      <c r="F137" s="230">
        <f>F138+F151</f>
        <v>27629.4</v>
      </c>
      <c r="G137" s="97">
        <f>G138</f>
        <v>30548.2</v>
      </c>
      <c r="H137" s="98">
        <f>G137/$G$172</f>
        <v>8.7999999999999995E-2</v>
      </c>
      <c r="I137" s="154">
        <f t="shared" si="92"/>
        <v>1</v>
      </c>
      <c r="J137" s="99">
        <f t="shared" si="46"/>
        <v>-39969.699999999997</v>
      </c>
      <c r="K137" s="98">
        <f>G137/D137</f>
        <v>0.433</v>
      </c>
      <c r="L137" s="100">
        <f t="shared" si="48"/>
        <v>2918.8</v>
      </c>
    </row>
    <row r="138" spans="1:12" s="49" customFormat="1" x14ac:dyDescent="0.2">
      <c r="A138" s="132" t="s">
        <v>67</v>
      </c>
      <c r="B138" s="133" t="s">
        <v>66</v>
      </c>
      <c r="C138" s="134">
        <f>C139+C147</f>
        <v>66766.8</v>
      </c>
      <c r="D138" s="134">
        <f>D139+D147</f>
        <v>70517.899999999994</v>
      </c>
      <c r="E138" s="134">
        <f>E139+E147</f>
        <v>30548.2</v>
      </c>
      <c r="F138" s="231">
        <f>27511.2</f>
        <v>27511.200000000001</v>
      </c>
      <c r="G138" s="134">
        <f>G139+G147</f>
        <v>30548.2</v>
      </c>
      <c r="H138" s="109">
        <f>G138/$G$172</f>
        <v>8.7999999999999995E-2</v>
      </c>
      <c r="I138" s="154">
        <f t="shared" si="92"/>
        <v>1</v>
      </c>
      <c r="J138" s="110">
        <f t="shared" ref="J138:J169" si="97">G138-D138</f>
        <v>-39969.699999999997</v>
      </c>
      <c r="K138" s="109">
        <f t="shared" ref="K138:K169" si="98">G138/D138</f>
        <v>0.433</v>
      </c>
      <c r="L138" s="108">
        <f t="shared" ref="L138:L169" si="99">G138-F138</f>
        <v>3037</v>
      </c>
    </row>
    <row r="139" spans="1:12" ht="40.5" x14ac:dyDescent="0.2">
      <c r="A139" s="18">
        <v>611</v>
      </c>
      <c r="B139" s="9" t="s">
        <v>109</v>
      </c>
      <c r="C139" s="129">
        <v>62835.6</v>
      </c>
      <c r="D139" s="7">
        <v>65445.599999999999</v>
      </c>
      <c r="E139" s="7">
        <v>29470.9</v>
      </c>
      <c r="F139" s="186">
        <v>27031.1</v>
      </c>
      <c r="G139" s="7">
        <v>29470.9</v>
      </c>
      <c r="H139" s="109">
        <f>G139/$G$172</f>
        <v>8.5000000000000006E-2</v>
      </c>
      <c r="I139" s="154">
        <f t="shared" si="92"/>
        <v>1</v>
      </c>
      <c r="J139" s="110">
        <f t="shared" si="97"/>
        <v>-35974.699999999997</v>
      </c>
      <c r="K139" s="109">
        <f t="shared" si="98"/>
        <v>0.45</v>
      </c>
      <c r="L139" s="108">
        <f t="shared" si="99"/>
        <v>2439.8000000000002</v>
      </c>
    </row>
    <row r="140" spans="1:12" hidden="1" x14ac:dyDescent="0.2">
      <c r="A140" s="18"/>
      <c r="B140" s="10" t="s">
        <v>113</v>
      </c>
      <c r="C140" s="129"/>
      <c r="D140" s="7"/>
      <c r="E140" s="7"/>
      <c r="F140" s="186"/>
      <c r="G140" s="7"/>
      <c r="H140" s="109">
        <f t="shared" ref="H140" si="100">G140/$G$172</f>
        <v>0</v>
      </c>
      <c r="I140" s="154" t="str">
        <f t="shared" si="92"/>
        <v>0,0%</v>
      </c>
      <c r="J140" s="110"/>
      <c r="K140" s="109"/>
      <c r="L140" s="108"/>
    </row>
    <row r="141" spans="1:12" x14ac:dyDescent="0.2">
      <c r="A141" s="135"/>
      <c r="B141" s="136" t="s">
        <v>27</v>
      </c>
      <c r="C141" s="136"/>
      <c r="D141" s="137"/>
      <c r="E141" s="137"/>
      <c r="F141" s="137"/>
      <c r="G141" s="137"/>
      <c r="H141" s="109"/>
      <c r="I141" s="154"/>
      <c r="J141" s="110"/>
      <c r="K141" s="109"/>
      <c r="L141" s="108"/>
    </row>
    <row r="142" spans="1:12" x14ac:dyDescent="0.2">
      <c r="A142" s="135"/>
      <c r="B142" s="128" t="s">
        <v>111</v>
      </c>
      <c r="C142" s="129">
        <v>52205.2</v>
      </c>
      <c r="D142" s="129">
        <v>52205.2</v>
      </c>
      <c r="E142" s="129">
        <v>27076.400000000001</v>
      </c>
      <c r="F142" s="129">
        <v>22250.400000000001</v>
      </c>
      <c r="G142" s="129">
        <v>27076.400000000001</v>
      </c>
      <c r="H142" s="109">
        <f>G142/$G$172</f>
        <v>7.8E-2</v>
      </c>
      <c r="I142" s="154">
        <f t="shared" ref="I142:I157" si="101">IF(E142=0,"0,0%",G142/E142)</f>
        <v>1</v>
      </c>
      <c r="J142" s="110">
        <f>G142-D142</f>
        <v>-25128.799999999999</v>
      </c>
      <c r="K142" s="109">
        <f>G142/D142</f>
        <v>0.51900000000000002</v>
      </c>
      <c r="L142" s="108">
        <f>G142-F142</f>
        <v>4826</v>
      </c>
    </row>
    <row r="143" spans="1:12" x14ac:dyDescent="0.2">
      <c r="A143" s="135"/>
      <c r="B143" s="128" t="s">
        <v>204</v>
      </c>
      <c r="C143" s="129">
        <v>265.8</v>
      </c>
      <c r="D143" s="129">
        <v>265.8</v>
      </c>
      <c r="E143" s="129">
        <v>98.7</v>
      </c>
      <c r="F143" s="129">
        <v>106.8</v>
      </c>
      <c r="G143" s="129">
        <v>98.7</v>
      </c>
      <c r="H143" s="109">
        <f>G143/$G$172</f>
        <v>0</v>
      </c>
      <c r="I143" s="154">
        <f t="shared" si="101"/>
        <v>1</v>
      </c>
      <c r="J143" s="110">
        <f>G143-D143</f>
        <v>-167.1</v>
      </c>
      <c r="K143" s="109">
        <f>G143/D143</f>
        <v>0.371</v>
      </c>
      <c r="L143" s="108">
        <f>G143-F143</f>
        <v>-8.1</v>
      </c>
    </row>
    <row r="144" spans="1:12" x14ac:dyDescent="0.2">
      <c r="A144" s="127"/>
      <c r="B144" s="128" t="s">
        <v>114</v>
      </c>
      <c r="C144" s="129">
        <v>6086</v>
      </c>
      <c r="D144" s="129">
        <v>5526.2</v>
      </c>
      <c r="E144" s="129">
        <v>1578.1</v>
      </c>
      <c r="F144" s="129">
        <v>3863.2</v>
      </c>
      <c r="G144" s="129">
        <v>1578.1</v>
      </c>
      <c r="H144" s="109">
        <f>G144/$G$172</f>
        <v>5.0000000000000001E-3</v>
      </c>
      <c r="I144" s="154">
        <f t="shared" si="101"/>
        <v>1</v>
      </c>
      <c r="J144" s="110">
        <f>G144-D144</f>
        <v>-3948.1</v>
      </c>
      <c r="K144" s="109">
        <f>G144/D144</f>
        <v>0.28599999999999998</v>
      </c>
      <c r="L144" s="108">
        <f>G144-F144</f>
        <v>-2285.1</v>
      </c>
    </row>
    <row r="145" spans="1:12" x14ac:dyDescent="0.2">
      <c r="A145" s="127"/>
      <c r="B145" s="128" t="s">
        <v>200</v>
      </c>
      <c r="C145" s="129">
        <v>1660.8</v>
      </c>
      <c r="D145" s="129">
        <v>1425.4</v>
      </c>
      <c r="E145" s="129">
        <v>0</v>
      </c>
      <c r="F145" s="129">
        <v>491.8</v>
      </c>
      <c r="G145" s="129">
        <v>0</v>
      </c>
      <c r="H145" s="109">
        <f t="shared" ref="H145:H146" si="102">G145/$G$172</f>
        <v>0</v>
      </c>
      <c r="I145" s="154" t="str">
        <f t="shared" si="101"/>
        <v>0,0%</v>
      </c>
      <c r="J145" s="110">
        <f t="shared" ref="J145:J146" si="103">G145-D145</f>
        <v>-1425.4</v>
      </c>
      <c r="K145" s="109">
        <f t="shared" ref="K145:K146" si="104">G145/D145</f>
        <v>0</v>
      </c>
      <c r="L145" s="108">
        <f t="shared" ref="L145:L146" si="105">G145-F145</f>
        <v>-491.8</v>
      </c>
    </row>
    <row r="146" spans="1:12" x14ac:dyDescent="0.2">
      <c r="A146" s="127"/>
      <c r="B146" s="128" t="s">
        <v>205</v>
      </c>
      <c r="C146" s="129">
        <v>2617.8000000000002</v>
      </c>
      <c r="D146" s="129">
        <v>6023</v>
      </c>
      <c r="E146" s="129">
        <v>717.7</v>
      </c>
      <c r="F146" s="129">
        <v>318.89999999999998</v>
      </c>
      <c r="G146" s="129">
        <v>717.7</v>
      </c>
      <c r="H146" s="109">
        <f t="shared" si="102"/>
        <v>2E-3</v>
      </c>
      <c r="I146" s="154">
        <f t="shared" si="101"/>
        <v>1</v>
      </c>
      <c r="J146" s="110">
        <f t="shared" si="103"/>
        <v>-5305.3</v>
      </c>
      <c r="K146" s="109">
        <f t="shared" si="104"/>
        <v>0.11899999999999999</v>
      </c>
      <c r="L146" s="108">
        <f t="shared" si="105"/>
        <v>398.8</v>
      </c>
    </row>
    <row r="147" spans="1:12" x14ac:dyDescent="0.2">
      <c r="A147" s="18">
        <v>612</v>
      </c>
      <c r="B147" s="9" t="s">
        <v>110</v>
      </c>
      <c r="C147" s="129">
        <v>3931.2</v>
      </c>
      <c r="D147" s="7">
        <v>5072.3</v>
      </c>
      <c r="E147" s="7">
        <v>1077.3</v>
      </c>
      <c r="F147" s="186">
        <v>480.2</v>
      </c>
      <c r="G147" s="7">
        <v>1077.3</v>
      </c>
      <c r="H147" s="109">
        <f>G147/$G$172</f>
        <v>3.0000000000000001E-3</v>
      </c>
      <c r="I147" s="154">
        <f>IF(E147=0,"0,0%",G147/E147)</f>
        <v>1</v>
      </c>
      <c r="J147" s="110">
        <f>G147-D147</f>
        <v>-3995</v>
      </c>
      <c r="K147" s="109">
        <f>G147/D147</f>
        <v>0.21199999999999999</v>
      </c>
      <c r="L147" s="108">
        <f>G147-F147</f>
        <v>597.1</v>
      </c>
    </row>
    <row r="148" spans="1:12" x14ac:dyDescent="0.2">
      <c r="A148" s="127"/>
      <c r="B148" s="128" t="s">
        <v>27</v>
      </c>
      <c r="C148" s="129"/>
      <c r="D148" s="129"/>
      <c r="E148" s="129"/>
      <c r="F148" s="129"/>
      <c r="G148" s="129"/>
      <c r="H148" s="109"/>
      <c r="I148" s="154"/>
      <c r="J148" s="110"/>
      <c r="K148" s="109"/>
      <c r="L148" s="108"/>
    </row>
    <row r="149" spans="1:12" ht="40.5" x14ac:dyDescent="0.2">
      <c r="A149" s="127"/>
      <c r="B149" s="128" t="s">
        <v>209</v>
      </c>
      <c r="C149" s="129">
        <v>361.6</v>
      </c>
      <c r="D149" s="129">
        <v>1502.7</v>
      </c>
      <c r="E149" s="129">
        <v>435.4</v>
      </c>
      <c r="F149" s="129">
        <v>166.2</v>
      </c>
      <c r="G149" s="129">
        <v>435.4</v>
      </c>
      <c r="H149" s="109">
        <f t="shared" ref="H149:H157" si="106">G149/$G$172</f>
        <v>1E-3</v>
      </c>
      <c r="I149" s="154">
        <f t="shared" si="101"/>
        <v>1</v>
      </c>
      <c r="J149" s="110">
        <f>G149-D149</f>
        <v>-1067.3</v>
      </c>
      <c r="K149" s="109">
        <f>G149/D149</f>
        <v>0.28999999999999998</v>
      </c>
      <c r="L149" s="108">
        <f>G149-F149</f>
        <v>269.2</v>
      </c>
    </row>
    <row r="150" spans="1:12" ht="67.5" x14ac:dyDescent="0.2">
      <c r="A150" s="127" t="s">
        <v>210</v>
      </c>
      <c r="B150" s="145" t="s">
        <v>206</v>
      </c>
      <c r="C150" s="130">
        <v>3569.6</v>
      </c>
      <c r="D150" s="130">
        <v>3569.6</v>
      </c>
      <c r="E150" s="130">
        <v>641.9</v>
      </c>
      <c r="F150" s="130">
        <v>313.89999999999998</v>
      </c>
      <c r="G150" s="130">
        <v>641.9</v>
      </c>
      <c r="H150" s="109">
        <f t="shared" si="106"/>
        <v>2E-3</v>
      </c>
      <c r="I150" s="154">
        <f t="shared" si="101"/>
        <v>1</v>
      </c>
      <c r="J150" s="110">
        <f>G150-D150</f>
        <v>-2927.7</v>
      </c>
      <c r="K150" s="109">
        <f>G150/D150</f>
        <v>0.18</v>
      </c>
      <c r="L150" s="108">
        <f>G150-F150</f>
        <v>328</v>
      </c>
    </row>
    <row r="151" spans="1:12" x14ac:dyDescent="0.2">
      <c r="A151" s="127" t="s">
        <v>217</v>
      </c>
      <c r="B151" s="145" t="s">
        <v>218</v>
      </c>
      <c r="C151" s="130">
        <v>0</v>
      </c>
      <c r="D151" s="130">
        <v>0</v>
      </c>
      <c r="E151" s="130">
        <v>0</v>
      </c>
      <c r="F151" s="130">
        <v>118.2</v>
      </c>
      <c r="G151" s="130">
        <v>0</v>
      </c>
      <c r="H151" s="109">
        <f t="shared" si="106"/>
        <v>0</v>
      </c>
      <c r="I151" s="154" t="str">
        <f t="shared" si="101"/>
        <v>0,0%</v>
      </c>
      <c r="J151" s="110">
        <f>G151-D151</f>
        <v>0</v>
      </c>
      <c r="K151" s="109" t="e">
        <f>G151/D151</f>
        <v>#DIV/0!</v>
      </c>
      <c r="L151" s="108">
        <f>G151-F151</f>
        <v>-118.2</v>
      </c>
    </row>
    <row r="152" spans="1:12" s="28" customFormat="1" x14ac:dyDescent="0.2">
      <c r="A152" s="95" t="s">
        <v>115</v>
      </c>
      <c r="B152" s="101" t="s">
        <v>116</v>
      </c>
      <c r="C152" s="97">
        <f>C153+C154</f>
        <v>652</v>
      </c>
      <c r="D152" s="97">
        <v>652</v>
      </c>
      <c r="E152" s="97">
        <f>E153+E154</f>
        <v>326</v>
      </c>
      <c r="F152" s="97">
        <f>F153+F154</f>
        <v>260.89999999999998</v>
      </c>
      <c r="G152" s="97">
        <f>G153+G154</f>
        <v>265.8</v>
      </c>
      <c r="H152" s="98">
        <f t="shared" si="106"/>
        <v>1E-3</v>
      </c>
      <c r="I152" s="154">
        <f t="shared" si="101"/>
        <v>0.81499999999999995</v>
      </c>
      <c r="J152" s="99">
        <f t="shared" si="97"/>
        <v>-386.2</v>
      </c>
      <c r="K152" s="98">
        <f t="shared" si="98"/>
        <v>0.40799999999999997</v>
      </c>
      <c r="L152" s="100">
        <f t="shared" si="99"/>
        <v>4.9000000000000004</v>
      </c>
    </row>
    <row r="153" spans="1:12" s="49" customFormat="1" x14ac:dyDescent="0.2">
      <c r="A153" s="17" t="s">
        <v>68</v>
      </c>
      <c r="B153" s="20" t="s">
        <v>69</v>
      </c>
      <c r="C153" s="179">
        <v>652</v>
      </c>
      <c r="D153" s="41">
        <v>652</v>
      </c>
      <c r="E153" s="41">
        <v>326</v>
      </c>
      <c r="F153" s="187">
        <v>260.89999999999998</v>
      </c>
      <c r="G153" s="41">
        <v>265.8</v>
      </c>
      <c r="H153" s="109">
        <f t="shared" si="106"/>
        <v>1E-3</v>
      </c>
      <c r="I153" s="154">
        <f t="shared" si="101"/>
        <v>0.81499999999999995</v>
      </c>
      <c r="J153" s="110">
        <f t="shared" si="97"/>
        <v>-386.2</v>
      </c>
      <c r="K153" s="109">
        <f t="shared" si="98"/>
        <v>0.40799999999999997</v>
      </c>
      <c r="L153" s="108">
        <f t="shared" si="99"/>
        <v>4.9000000000000004</v>
      </c>
    </row>
    <row r="154" spans="1:12" s="49" customFormat="1" hidden="1" x14ac:dyDescent="0.2">
      <c r="A154" s="17" t="s">
        <v>63</v>
      </c>
      <c r="B154" s="20" t="s">
        <v>64</v>
      </c>
      <c r="C154" s="179">
        <v>0</v>
      </c>
      <c r="D154" s="41">
        <v>0</v>
      </c>
      <c r="E154" s="41">
        <v>0</v>
      </c>
      <c r="F154" s="187">
        <v>0</v>
      </c>
      <c r="G154" s="41">
        <v>0</v>
      </c>
      <c r="H154" s="109">
        <f t="shared" si="106"/>
        <v>0</v>
      </c>
      <c r="I154" s="154" t="str">
        <f t="shared" si="101"/>
        <v>0,0%</v>
      </c>
      <c r="J154" s="110">
        <f t="shared" si="97"/>
        <v>0</v>
      </c>
      <c r="K154" s="109">
        <v>0</v>
      </c>
      <c r="L154" s="108">
        <f t="shared" si="99"/>
        <v>0</v>
      </c>
    </row>
    <row r="155" spans="1:12" s="28" customFormat="1" x14ac:dyDescent="0.2">
      <c r="A155" s="95" t="s">
        <v>117</v>
      </c>
      <c r="B155" s="101" t="s">
        <v>53</v>
      </c>
      <c r="C155" s="100">
        <f>C156</f>
        <v>12560.9</v>
      </c>
      <c r="D155" s="100">
        <f t="shared" ref="D155:G155" si="107">D156</f>
        <v>12560.9</v>
      </c>
      <c r="E155" s="100">
        <f t="shared" si="107"/>
        <v>4557.8</v>
      </c>
      <c r="F155" s="100">
        <f t="shared" si="107"/>
        <v>4370.8999999999996</v>
      </c>
      <c r="G155" s="100">
        <f t="shared" si="107"/>
        <v>4557.8</v>
      </c>
      <c r="H155" s="98">
        <f t="shared" si="106"/>
        <v>1.2999999999999999E-2</v>
      </c>
      <c r="I155" s="154">
        <f t="shared" si="101"/>
        <v>1</v>
      </c>
      <c r="J155" s="99">
        <f t="shared" si="97"/>
        <v>-8003.1</v>
      </c>
      <c r="K155" s="98">
        <f t="shared" si="98"/>
        <v>0.36299999999999999</v>
      </c>
      <c r="L155" s="100">
        <f t="shared" si="99"/>
        <v>186.9</v>
      </c>
    </row>
    <row r="156" spans="1:12" s="49" customFormat="1" x14ac:dyDescent="0.2">
      <c r="A156" s="17" t="s">
        <v>83</v>
      </c>
      <c r="B156" s="39" t="s">
        <v>178</v>
      </c>
      <c r="C156" s="179">
        <f>C157+C164</f>
        <v>12560.9</v>
      </c>
      <c r="D156" s="41">
        <f>D157+D164</f>
        <v>12560.9</v>
      </c>
      <c r="E156" s="41">
        <f>E157+E164</f>
        <v>4557.8</v>
      </c>
      <c r="F156" s="187">
        <f>F157+F164</f>
        <v>4370.8999999999996</v>
      </c>
      <c r="G156" s="41">
        <f>G157+G164</f>
        <v>4557.8</v>
      </c>
      <c r="H156" s="109">
        <f t="shared" si="106"/>
        <v>1.2999999999999999E-2</v>
      </c>
      <c r="I156" s="154">
        <f t="shared" si="101"/>
        <v>1</v>
      </c>
      <c r="J156" s="110">
        <f t="shared" si="97"/>
        <v>-8003.1</v>
      </c>
      <c r="K156" s="109">
        <f t="shared" si="98"/>
        <v>0.36299999999999999</v>
      </c>
      <c r="L156" s="108">
        <f t="shared" si="99"/>
        <v>186.9</v>
      </c>
    </row>
    <row r="157" spans="1:12" ht="40.5" x14ac:dyDescent="0.2">
      <c r="A157" s="18">
        <v>611</v>
      </c>
      <c r="B157" s="9" t="s">
        <v>109</v>
      </c>
      <c r="C157" s="129">
        <v>10095.9</v>
      </c>
      <c r="D157" s="7">
        <v>9900.9</v>
      </c>
      <c r="E157" s="7">
        <v>3533.2</v>
      </c>
      <c r="F157" s="186">
        <v>3491.8</v>
      </c>
      <c r="G157" s="7">
        <v>3533.2</v>
      </c>
      <c r="H157" s="109">
        <f t="shared" si="106"/>
        <v>0.01</v>
      </c>
      <c r="I157" s="154">
        <f t="shared" si="101"/>
        <v>1</v>
      </c>
      <c r="J157" s="110">
        <f t="shared" si="97"/>
        <v>-6367.7</v>
      </c>
      <c r="K157" s="109">
        <f t="shared" si="98"/>
        <v>0.35699999999999998</v>
      </c>
      <c r="L157" s="108">
        <f t="shared" si="99"/>
        <v>41.4</v>
      </c>
    </row>
    <row r="158" spans="1:12" x14ac:dyDescent="0.2">
      <c r="A158" s="135"/>
      <c r="B158" s="136" t="s">
        <v>27</v>
      </c>
      <c r="C158" s="136"/>
      <c r="D158" s="137"/>
      <c r="E158" s="137"/>
      <c r="F158" s="137"/>
      <c r="G158" s="137"/>
      <c r="H158" s="109"/>
      <c r="I158" s="154"/>
      <c r="J158" s="110"/>
      <c r="K158" s="109"/>
      <c r="L158" s="108"/>
    </row>
    <row r="159" spans="1:12" x14ac:dyDescent="0.2">
      <c r="A159" s="135"/>
      <c r="B159" s="128" t="s">
        <v>111</v>
      </c>
      <c r="C159" s="129">
        <v>8160.1</v>
      </c>
      <c r="D159" s="129">
        <v>8160.1</v>
      </c>
      <c r="E159" s="129">
        <v>3407.2</v>
      </c>
      <c r="F159" s="129">
        <v>2671.2</v>
      </c>
      <c r="G159" s="129">
        <v>3407.2</v>
      </c>
      <c r="H159" s="109">
        <f>G159/$G$172</f>
        <v>0.01</v>
      </c>
      <c r="I159" s="154">
        <f t="shared" ref="I159:I172" si="108">IF(E159=0,"0,0%",G159/E159)</f>
        <v>1</v>
      </c>
      <c r="J159" s="110">
        <f>G159-D159</f>
        <v>-4752.8999999999996</v>
      </c>
      <c r="K159" s="109">
        <f>G159/D159</f>
        <v>0.41799999999999998</v>
      </c>
      <c r="L159" s="108">
        <f>G159-F159</f>
        <v>736</v>
      </c>
    </row>
    <row r="160" spans="1:12" x14ac:dyDescent="0.2">
      <c r="A160" s="135"/>
      <c r="B160" s="128" t="s">
        <v>204</v>
      </c>
      <c r="C160" s="129">
        <v>33.700000000000003</v>
      </c>
      <c r="D160" s="129">
        <v>33.700000000000003</v>
      </c>
      <c r="E160" s="129">
        <v>9.4</v>
      </c>
      <c r="F160" s="129">
        <v>8.9</v>
      </c>
      <c r="G160" s="129">
        <v>9.4</v>
      </c>
      <c r="H160" s="109">
        <f>G160/$G$172</f>
        <v>0</v>
      </c>
      <c r="I160" s="154">
        <f t="shared" si="108"/>
        <v>1</v>
      </c>
      <c r="J160" s="110">
        <f>G160-D160</f>
        <v>-24.3</v>
      </c>
      <c r="K160" s="109">
        <f>G160/D160</f>
        <v>0.27900000000000003</v>
      </c>
      <c r="L160" s="108">
        <f>G160-F160</f>
        <v>0.5</v>
      </c>
    </row>
    <row r="161" spans="1:12" x14ac:dyDescent="0.2">
      <c r="A161" s="127"/>
      <c r="B161" s="128" t="s">
        <v>114</v>
      </c>
      <c r="C161" s="129">
        <v>1332.1</v>
      </c>
      <c r="D161" s="129">
        <v>1203.5</v>
      </c>
      <c r="E161" s="129">
        <v>113.6</v>
      </c>
      <c r="F161" s="129">
        <v>711.3</v>
      </c>
      <c r="G161" s="129">
        <v>113.6</v>
      </c>
      <c r="H161" s="109">
        <f>G161/$G$172</f>
        <v>0</v>
      </c>
      <c r="I161" s="154">
        <f>IF(E161=0,"0,0%",G161/E161)</f>
        <v>1</v>
      </c>
      <c r="J161" s="110">
        <f>G161-D161</f>
        <v>-1089.9000000000001</v>
      </c>
      <c r="K161" s="109">
        <f>G161/D161</f>
        <v>9.4E-2</v>
      </c>
      <c r="L161" s="108">
        <f>G161-F161</f>
        <v>-597.70000000000005</v>
      </c>
    </row>
    <row r="162" spans="1:12" x14ac:dyDescent="0.2">
      <c r="A162" s="127"/>
      <c r="B162" s="128" t="s">
        <v>200</v>
      </c>
      <c r="C162" s="129">
        <v>164.1</v>
      </c>
      <c r="D162" s="129">
        <v>104.6</v>
      </c>
      <c r="E162" s="129">
        <v>0</v>
      </c>
      <c r="F162" s="129">
        <v>70.400000000000006</v>
      </c>
      <c r="G162" s="129">
        <v>0</v>
      </c>
      <c r="H162" s="109">
        <f t="shared" ref="H162:H163" si="109">G162/$G$172</f>
        <v>0</v>
      </c>
      <c r="I162" s="154" t="str">
        <f t="shared" ref="I162:I163" si="110">IF(E162=0,"0,0%",G162/E162)</f>
        <v>0,0%</v>
      </c>
      <c r="J162" s="110">
        <f t="shared" ref="J162:J163" si="111">G162-D162</f>
        <v>-104.6</v>
      </c>
      <c r="K162" s="109">
        <f t="shared" ref="K162:K163" si="112">G162/D162</f>
        <v>0</v>
      </c>
      <c r="L162" s="108">
        <f t="shared" ref="L162:L163" si="113">G162-F162</f>
        <v>-70.400000000000006</v>
      </c>
    </row>
    <row r="163" spans="1:12" x14ac:dyDescent="0.2">
      <c r="A163" s="127"/>
      <c r="B163" s="128" t="s">
        <v>201</v>
      </c>
      <c r="C163" s="129">
        <v>405.9</v>
      </c>
      <c r="D163" s="129">
        <v>399</v>
      </c>
      <c r="E163" s="129">
        <v>3</v>
      </c>
      <c r="F163" s="129">
        <v>30</v>
      </c>
      <c r="G163" s="129">
        <v>3</v>
      </c>
      <c r="H163" s="109">
        <f t="shared" si="109"/>
        <v>0</v>
      </c>
      <c r="I163" s="154">
        <f t="shared" si="110"/>
        <v>1</v>
      </c>
      <c r="J163" s="110">
        <f t="shared" si="111"/>
        <v>-396</v>
      </c>
      <c r="K163" s="109">
        <f t="shared" si="112"/>
        <v>8.0000000000000002E-3</v>
      </c>
      <c r="L163" s="108">
        <f t="shared" si="113"/>
        <v>-27</v>
      </c>
    </row>
    <row r="164" spans="1:12" x14ac:dyDescent="0.2">
      <c r="A164" s="18"/>
      <c r="B164" s="9" t="s">
        <v>110</v>
      </c>
      <c r="C164" s="129">
        <v>2465</v>
      </c>
      <c r="D164" s="7">
        <v>2660</v>
      </c>
      <c r="E164" s="7">
        <v>1024.5999999999999</v>
      </c>
      <c r="F164" s="186">
        <v>879.1</v>
      </c>
      <c r="G164" s="7">
        <v>1024.5999999999999</v>
      </c>
      <c r="H164" s="109">
        <f>G164/$G$172</f>
        <v>3.0000000000000001E-3</v>
      </c>
      <c r="I164" s="154">
        <f>IF(E164=0,"0,0%",G164/E164)</f>
        <v>1</v>
      </c>
      <c r="J164" s="110">
        <f>G164-D164</f>
        <v>-1635.4</v>
      </c>
      <c r="K164" s="109">
        <f>G164/D164</f>
        <v>0.38500000000000001</v>
      </c>
      <c r="L164" s="108">
        <f>G164-F164</f>
        <v>145.5</v>
      </c>
    </row>
    <row r="165" spans="1:12" x14ac:dyDescent="0.2">
      <c r="A165" s="127"/>
      <c r="B165" s="128" t="s">
        <v>27</v>
      </c>
      <c r="C165" s="129"/>
      <c r="D165" s="129"/>
      <c r="E165" s="129"/>
      <c r="F165" s="129"/>
      <c r="G165" s="129"/>
      <c r="H165" s="109"/>
      <c r="I165" s="154"/>
      <c r="J165" s="110"/>
      <c r="K165" s="109"/>
      <c r="L165" s="108"/>
    </row>
    <row r="166" spans="1:12" ht="27" x14ac:dyDescent="0.2">
      <c r="A166" s="127"/>
      <c r="B166" s="128" t="s">
        <v>208</v>
      </c>
      <c r="C166" s="129">
        <v>0</v>
      </c>
      <c r="D166" s="129">
        <v>195</v>
      </c>
      <c r="E166" s="129">
        <v>70.3</v>
      </c>
      <c r="F166" s="129">
        <v>30</v>
      </c>
      <c r="G166" s="129">
        <v>70.3</v>
      </c>
      <c r="H166" s="109">
        <f t="shared" ref="H166:H172" si="114">G166/$G$172</f>
        <v>0</v>
      </c>
      <c r="I166" s="154">
        <f t="shared" si="108"/>
        <v>1</v>
      </c>
      <c r="J166" s="110">
        <f>G166-D166</f>
        <v>-124.7</v>
      </c>
      <c r="K166" s="109">
        <f>G166/D166</f>
        <v>0.36099999999999999</v>
      </c>
      <c r="L166" s="108">
        <f>G166-F166</f>
        <v>40.299999999999997</v>
      </c>
    </row>
    <row r="167" spans="1:12" ht="30" customHeight="1" x14ac:dyDescent="0.2">
      <c r="A167" s="221" t="s">
        <v>228</v>
      </c>
      <c r="B167" s="128" t="s">
        <v>227</v>
      </c>
      <c r="C167" s="130">
        <v>2465</v>
      </c>
      <c r="D167" s="130">
        <f>2465</f>
        <v>2465</v>
      </c>
      <c r="E167" s="130">
        <v>954.3</v>
      </c>
      <c r="F167" s="130">
        <v>849.1</v>
      </c>
      <c r="G167" s="130">
        <v>954.3</v>
      </c>
      <c r="H167" s="109">
        <f t="shared" si="114"/>
        <v>3.0000000000000001E-3</v>
      </c>
      <c r="I167" s="154">
        <f t="shared" si="108"/>
        <v>1</v>
      </c>
      <c r="J167" s="110">
        <f>G167-D167</f>
        <v>-1510.7</v>
      </c>
      <c r="K167" s="109">
        <f>G167/D167</f>
        <v>0.38700000000000001</v>
      </c>
      <c r="L167" s="108">
        <f>G167-F167</f>
        <v>105.2</v>
      </c>
    </row>
    <row r="168" spans="1:12" s="28" customFormat="1" ht="27" x14ac:dyDescent="0.2">
      <c r="A168" s="104">
        <v>1300</v>
      </c>
      <c r="B168" s="101" t="s">
        <v>118</v>
      </c>
      <c r="C168" s="100">
        <f>C169</f>
        <v>8098.7</v>
      </c>
      <c r="D168" s="100">
        <f>D169</f>
        <v>8098.7</v>
      </c>
      <c r="E168" s="100">
        <f>E169</f>
        <v>4662</v>
      </c>
      <c r="F168" s="100">
        <f>F169</f>
        <v>3463.2</v>
      </c>
      <c r="G168" s="100">
        <f>G169</f>
        <v>4662</v>
      </c>
      <c r="H168" s="98">
        <f t="shared" si="114"/>
        <v>1.2999999999999999E-2</v>
      </c>
      <c r="I168" s="154">
        <f t="shared" si="108"/>
        <v>1</v>
      </c>
      <c r="J168" s="99">
        <f t="shared" si="97"/>
        <v>-3436.7</v>
      </c>
      <c r="K168" s="98">
        <f t="shared" si="98"/>
        <v>0.57599999999999996</v>
      </c>
      <c r="L168" s="100">
        <f t="shared" si="99"/>
        <v>1198.8</v>
      </c>
    </row>
    <row r="169" spans="1:12" s="49" customFormat="1" ht="27" x14ac:dyDescent="0.2">
      <c r="A169" s="17" t="s">
        <v>81</v>
      </c>
      <c r="B169" s="39" t="s">
        <v>119</v>
      </c>
      <c r="C169" s="179">
        <v>8098.7</v>
      </c>
      <c r="D169" s="41">
        <v>8098.7</v>
      </c>
      <c r="E169" s="41">
        <v>4662</v>
      </c>
      <c r="F169" s="187">
        <v>3463.2</v>
      </c>
      <c r="G169" s="41">
        <v>4662</v>
      </c>
      <c r="H169" s="109">
        <f t="shared" si="114"/>
        <v>1.2999999999999999E-2</v>
      </c>
      <c r="I169" s="154">
        <f t="shared" si="108"/>
        <v>1</v>
      </c>
      <c r="J169" s="110">
        <f t="shared" si="97"/>
        <v>-3436.7</v>
      </c>
      <c r="K169" s="109">
        <f t="shared" si="98"/>
        <v>0.57599999999999996</v>
      </c>
      <c r="L169" s="108">
        <f t="shared" si="99"/>
        <v>1198.8</v>
      </c>
    </row>
    <row r="170" spans="1:12" s="28" customFormat="1" ht="40.5" x14ac:dyDescent="0.2">
      <c r="A170" s="104">
        <v>1400</v>
      </c>
      <c r="B170" s="101" t="s">
        <v>180</v>
      </c>
      <c r="C170" s="100">
        <f>C171</f>
        <v>60000</v>
      </c>
      <c r="D170" s="100">
        <f>D171</f>
        <v>160000</v>
      </c>
      <c r="E170" s="100">
        <f>E171</f>
        <v>106450</v>
      </c>
      <c r="F170" s="100">
        <f>F171</f>
        <v>15500</v>
      </c>
      <c r="G170" s="100">
        <f>G171</f>
        <v>106450</v>
      </c>
      <c r="H170" s="98">
        <f t="shared" si="114"/>
        <v>0.308</v>
      </c>
      <c r="I170" s="154">
        <f t="shared" ref="I170:I171" si="115">IF(E170=0,"0,0%",G170/E170)</f>
        <v>1</v>
      </c>
      <c r="J170" s="99">
        <f t="shared" ref="J170:J171" si="116">G170-D170</f>
        <v>-53550</v>
      </c>
      <c r="K170" s="98">
        <f t="shared" ref="K170:K171" si="117">G170/D170</f>
        <v>0.66500000000000004</v>
      </c>
      <c r="L170" s="100">
        <f t="shared" ref="L170:L171" si="118">G170-F170</f>
        <v>90950</v>
      </c>
    </row>
    <row r="171" spans="1:12" s="49" customFormat="1" ht="27" x14ac:dyDescent="0.2">
      <c r="A171" s="17" t="s">
        <v>179</v>
      </c>
      <c r="B171" s="39" t="s">
        <v>181</v>
      </c>
      <c r="C171" s="179">
        <v>60000</v>
      </c>
      <c r="D171" s="41">
        <v>160000</v>
      </c>
      <c r="E171" s="41">
        <v>106450</v>
      </c>
      <c r="F171" s="187">
        <v>15500</v>
      </c>
      <c r="G171" s="41">
        <v>106450</v>
      </c>
      <c r="H171" s="109">
        <f t="shared" si="114"/>
        <v>0.308</v>
      </c>
      <c r="I171" s="154">
        <f t="shared" si="115"/>
        <v>1</v>
      </c>
      <c r="J171" s="110">
        <f t="shared" si="116"/>
        <v>-53550</v>
      </c>
      <c r="K171" s="109">
        <f t="shared" si="117"/>
        <v>0.66500000000000004</v>
      </c>
      <c r="L171" s="108">
        <f t="shared" si="118"/>
        <v>90950</v>
      </c>
    </row>
    <row r="172" spans="1:12" s="28" customFormat="1" ht="16.5" x14ac:dyDescent="0.2">
      <c r="A172" s="95"/>
      <c r="B172" s="105" t="s">
        <v>58</v>
      </c>
      <c r="C172" s="100">
        <f>C52+C71+C78+C97+C124+C137+C152+C155+C168+C170</f>
        <v>633765</v>
      </c>
      <c r="D172" s="223">
        <f>D52+D71+D78+D97+D124+D137+D152+D155+D168+D170</f>
        <v>788177.8</v>
      </c>
      <c r="E172" s="100">
        <f>E52+E71+E78+E97+E124+E137+E152+E155+E168+E170</f>
        <v>348329.1</v>
      </c>
      <c r="F172" s="100">
        <f>F52+F71+F78+F97+F124+F137+F152+F155+F168+F170</f>
        <v>272925.90000000002</v>
      </c>
      <c r="G172" s="100">
        <f>G52+G71+G78+G97+G124+G137+G152+G155+G168+G170</f>
        <v>345853.5</v>
      </c>
      <c r="H172" s="98">
        <f t="shared" si="114"/>
        <v>1</v>
      </c>
      <c r="I172" s="154">
        <f t="shared" si="108"/>
        <v>0.99299999999999999</v>
      </c>
      <c r="J172" s="100">
        <f>J52+J71+J78+J97+J124+J137+J152+J155+J168</f>
        <v>-388774.3</v>
      </c>
      <c r="K172" s="98">
        <f>G172/D172</f>
        <v>0.439</v>
      </c>
      <c r="L172" s="100">
        <f>G172-F172</f>
        <v>72927.600000000006</v>
      </c>
    </row>
    <row r="173" spans="1:12" s="1" customFormat="1" ht="16.5" x14ac:dyDescent="0.2">
      <c r="A173" s="36"/>
      <c r="B173" s="84"/>
      <c r="C173" s="183"/>
      <c r="D173" s="94"/>
      <c r="E173" s="94"/>
      <c r="F173" s="203"/>
      <c r="G173" s="94"/>
      <c r="H173" s="121"/>
      <c r="I173" s="153"/>
      <c r="J173" s="122"/>
      <c r="K173" s="121"/>
      <c r="L173" s="123"/>
    </row>
    <row r="174" spans="1:12" x14ac:dyDescent="0.2">
      <c r="A174" s="19"/>
      <c r="B174" s="6" t="s">
        <v>72</v>
      </c>
      <c r="C174" s="249">
        <f>C49-C172</f>
        <v>0</v>
      </c>
      <c r="D174" s="251">
        <f>D49-D172</f>
        <v>-26558.5</v>
      </c>
      <c r="E174" s="251">
        <f>E49-E172</f>
        <v>-5353.9</v>
      </c>
      <c r="F174" s="251">
        <f>F49-F172</f>
        <v>-25924.7</v>
      </c>
      <c r="G174" s="251">
        <f>G49-G172</f>
        <v>4510.1000000000004</v>
      </c>
      <c r="H174" s="241">
        <f>G174/G174</f>
        <v>1</v>
      </c>
      <c r="I174" s="153"/>
      <c r="J174" s="243">
        <f t="shared" ref="J174:J180" si="119">G174-D174</f>
        <v>31068.6</v>
      </c>
      <c r="K174" s="241">
        <f>G174/D174</f>
        <v>-0.17</v>
      </c>
      <c r="L174" s="246">
        <f>G174-F174</f>
        <v>30434.799999999999</v>
      </c>
    </row>
    <row r="175" spans="1:12" x14ac:dyDescent="0.2">
      <c r="A175" s="19"/>
      <c r="B175" s="6" t="s">
        <v>73</v>
      </c>
      <c r="C175" s="250"/>
      <c r="D175" s="252"/>
      <c r="E175" s="252"/>
      <c r="F175" s="252"/>
      <c r="G175" s="252"/>
      <c r="H175" s="242"/>
      <c r="I175" s="154" t="str">
        <f>IF(E175=0,"0,0%",G175/E175)</f>
        <v>0,0%</v>
      </c>
      <c r="J175" s="244"/>
      <c r="K175" s="242"/>
      <c r="L175" s="247"/>
    </row>
    <row r="176" spans="1:12" ht="27" x14ac:dyDescent="0.2">
      <c r="A176" s="19"/>
      <c r="B176" s="6" t="s">
        <v>74</v>
      </c>
      <c r="C176" s="181">
        <f>C177+C180</f>
        <v>0</v>
      </c>
      <c r="D176" s="5">
        <f>D177+D180</f>
        <v>26558.5</v>
      </c>
      <c r="E176" s="157">
        <f>E177+E180</f>
        <v>5353.9</v>
      </c>
      <c r="F176" s="157">
        <f>F177+F180</f>
        <v>25924.7</v>
      </c>
      <c r="G176" s="157">
        <f>G177+G180</f>
        <v>-4510.1000000000004</v>
      </c>
      <c r="H176" s="98">
        <f>G176/G176</f>
        <v>1</v>
      </c>
      <c r="I176" s="154">
        <f>IF(E176=0,"0,0%",G176/E176)</f>
        <v>-0.84199999999999997</v>
      </c>
      <c r="J176" s="99">
        <f t="shared" si="119"/>
        <v>-31068.6</v>
      </c>
      <c r="K176" s="98">
        <f t="shared" ref="K176:K182" si="120">G176/D176</f>
        <v>-0.17</v>
      </c>
      <c r="L176" s="100">
        <f>G176-F176</f>
        <v>-30434.799999999999</v>
      </c>
    </row>
    <row r="177" spans="1:12" ht="27" x14ac:dyDescent="0.2">
      <c r="A177" s="50" t="s">
        <v>90</v>
      </c>
      <c r="B177" s="85" t="s">
        <v>91</v>
      </c>
      <c r="C177" s="184">
        <f>C178+C179</f>
        <v>0</v>
      </c>
      <c r="D177" s="184">
        <f>D178+D179</f>
        <v>17294.599999999999</v>
      </c>
      <c r="E177" s="42">
        <f>E178-E179</f>
        <v>0</v>
      </c>
      <c r="F177" s="158">
        <f>F178-F179</f>
        <v>20000</v>
      </c>
      <c r="G177" s="158">
        <f>G178-G179</f>
        <v>0</v>
      </c>
      <c r="H177" s="98">
        <v>0</v>
      </c>
      <c r="I177" s="98">
        <v>0</v>
      </c>
      <c r="J177" s="99">
        <f t="shared" si="119"/>
        <v>-17294.599999999999</v>
      </c>
      <c r="K177" s="98">
        <v>0</v>
      </c>
      <c r="L177" s="124">
        <f>G177-F177</f>
        <v>-20000</v>
      </c>
    </row>
    <row r="178" spans="1:12" s="49" customFormat="1" ht="40.5" x14ac:dyDescent="0.2">
      <c r="A178" s="18" t="s">
        <v>86</v>
      </c>
      <c r="B178" s="86" t="s">
        <v>87</v>
      </c>
      <c r="C178" s="179">
        <v>28500</v>
      </c>
      <c r="D178" s="159">
        <v>58500</v>
      </c>
      <c r="E178" s="41">
        <v>0</v>
      </c>
      <c r="F178" s="159">
        <v>20000</v>
      </c>
      <c r="G178" s="159">
        <v>0</v>
      </c>
      <c r="H178" s="98">
        <v>0</v>
      </c>
      <c r="I178" s="98">
        <v>0</v>
      </c>
      <c r="J178" s="119">
        <f t="shared" si="119"/>
        <v>-58500</v>
      </c>
      <c r="K178" s="118">
        <f t="shared" si="120"/>
        <v>0</v>
      </c>
      <c r="L178" s="124">
        <f>G178-F178</f>
        <v>-20000</v>
      </c>
    </row>
    <row r="179" spans="1:12" s="49" customFormat="1" ht="40.5" x14ac:dyDescent="0.2">
      <c r="A179" s="18" t="s">
        <v>88</v>
      </c>
      <c r="B179" s="86" t="s">
        <v>89</v>
      </c>
      <c r="C179" s="179">
        <v>-28500</v>
      </c>
      <c r="D179" s="159">
        <v>-41205.4</v>
      </c>
      <c r="E179" s="41">
        <v>0</v>
      </c>
      <c r="F179" s="159">
        <v>0</v>
      </c>
      <c r="G179" s="159">
        <v>0</v>
      </c>
      <c r="H179" s="98">
        <v>0</v>
      </c>
      <c r="I179" s="98">
        <v>0</v>
      </c>
      <c r="J179" s="119">
        <f t="shared" si="119"/>
        <v>41205.4</v>
      </c>
      <c r="K179" s="118">
        <f t="shared" si="120"/>
        <v>0</v>
      </c>
      <c r="L179" s="124">
        <f>G179-F179</f>
        <v>0</v>
      </c>
    </row>
    <row r="180" spans="1:12" ht="27" x14ac:dyDescent="0.2">
      <c r="A180" s="50" t="s">
        <v>92</v>
      </c>
      <c r="B180" s="85" t="s">
        <v>93</v>
      </c>
      <c r="C180" s="184">
        <f>C181+C182</f>
        <v>0</v>
      </c>
      <c r="D180" s="42">
        <f>D181+D182</f>
        <v>9263.9</v>
      </c>
      <c r="E180" s="42">
        <f>E181+E182</f>
        <v>5353.9</v>
      </c>
      <c r="F180" s="158">
        <f>F181+F182</f>
        <v>5924.7</v>
      </c>
      <c r="G180" s="158">
        <f>G181+G182</f>
        <v>-4510.1000000000004</v>
      </c>
      <c r="H180" s="98">
        <f>G176/G180</f>
        <v>1</v>
      </c>
      <c r="I180" s="98">
        <v>0</v>
      </c>
      <c r="J180" s="99">
        <f t="shared" si="119"/>
        <v>-13774</v>
      </c>
      <c r="K180" s="98">
        <f t="shared" si="120"/>
        <v>-0.48699999999999999</v>
      </c>
      <c r="L180" s="120">
        <f>G180-F180</f>
        <v>-10434.799999999999</v>
      </c>
    </row>
    <row r="181" spans="1:12" ht="27" x14ac:dyDescent="0.2">
      <c r="A181" s="17" t="s">
        <v>94</v>
      </c>
      <c r="B181" s="8" t="s">
        <v>54</v>
      </c>
      <c r="C181" s="179">
        <v>0</v>
      </c>
      <c r="D181" s="41">
        <v>0</v>
      </c>
      <c r="E181" s="41">
        <v>0</v>
      </c>
      <c r="F181" s="159">
        <v>-267199.5</v>
      </c>
      <c r="G181" s="159">
        <v>-351472.1</v>
      </c>
      <c r="H181" s="98">
        <f t="shared" ref="H181:H182" si="121">G177/G181</f>
        <v>0</v>
      </c>
      <c r="I181" s="98">
        <v>0</v>
      </c>
      <c r="J181" s="110">
        <f>G181-D181</f>
        <v>-351472.1</v>
      </c>
      <c r="K181" s="109">
        <v>0</v>
      </c>
      <c r="L181" s="108">
        <f>-(L49)</f>
        <v>-103362.4</v>
      </c>
    </row>
    <row r="182" spans="1:12" ht="27" x14ac:dyDescent="0.2">
      <c r="A182" s="17" t="s">
        <v>95</v>
      </c>
      <c r="B182" s="8" t="s">
        <v>55</v>
      </c>
      <c r="C182" s="179">
        <v>0</v>
      </c>
      <c r="D182" s="41">
        <v>9263.9</v>
      </c>
      <c r="E182" s="41">
        <v>5353.9</v>
      </c>
      <c r="F182" s="159">
        <v>273124.2</v>
      </c>
      <c r="G182" s="159">
        <v>346962</v>
      </c>
      <c r="H182" s="98">
        <f t="shared" si="121"/>
        <v>0</v>
      </c>
      <c r="I182" s="98">
        <v>0</v>
      </c>
      <c r="J182" s="110">
        <f>G182-D182</f>
        <v>337698.1</v>
      </c>
      <c r="K182" s="109">
        <f t="shared" si="120"/>
        <v>37.453000000000003</v>
      </c>
      <c r="L182" s="108">
        <f>L172</f>
        <v>72927.600000000006</v>
      </c>
    </row>
    <row r="183" spans="1:12" hidden="1" x14ac:dyDescent="0.2">
      <c r="A183" s="18" t="s">
        <v>10</v>
      </c>
      <c r="B183" s="11" t="s">
        <v>9</v>
      </c>
      <c r="C183" s="185"/>
      <c r="D183" s="32"/>
      <c r="E183" s="7" t="s">
        <v>10</v>
      </c>
      <c r="F183" s="7"/>
      <c r="G183" s="7"/>
      <c r="H183" s="109"/>
      <c r="I183" s="109"/>
      <c r="J183" s="110"/>
      <c r="K183" s="109"/>
      <c r="L183" s="108"/>
    </row>
    <row r="184" spans="1:12" ht="27" hidden="1" x14ac:dyDescent="0.2">
      <c r="A184" s="106"/>
      <c r="B184" s="107" t="s">
        <v>149</v>
      </c>
      <c r="C184" s="108">
        <f>C68+C121+C128+C142+C159</f>
        <v>86310.1</v>
      </c>
      <c r="D184" s="108">
        <f>D68+D121+D128+D142+D159</f>
        <v>84852.800000000003</v>
      </c>
      <c r="E184" s="108">
        <f>E68+E121+E128+E142+E159</f>
        <v>40238</v>
      </c>
      <c r="F184" s="108">
        <f>F68+F121+F128+F142+F159</f>
        <v>37968.199999999997</v>
      </c>
      <c r="G184" s="108">
        <f>G68+G121+G128+G142+G159</f>
        <v>40238</v>
      </c>
      <c r="H184" s="118">
        <f t="shared" ref="H184:H189" si="122">G184/$G$172</f>
        <v>0.11600000000000001</v>
      </c>
      <c r="I184" s="154">
        <f t="shared" ref="I184:I189" si="123">IF(E184=0,"0,0%",G184/E184)</f>
        <v>1</v>
      </c>
      <c r="J184" s="119">
        <f t="shared" ref="J184:J189" si="124">G184-D184</f>
        <v>-44614.8</v>
      </c>
      <c r="K184" s="118">
        <f t="shared" ref="K184:K189" si="125">G184/D184</f>
        <v>0.47399999999999998</v>
      </c>
      <c r="L184" s="124">
        <f t="shared" ref="L184:L189" si="126">G184-F184</f>
        <v>2269.8000000000002</v>
      </c>
    </row>
    <row r="185" spans="1:12" hidden="1" x14ac:dyDescent="0.2">
      <c r="A185" s="106" t="s">
        <v>10</v>
      </c>
      <c r="B185" s="107" t="s">
        <v>148</v>
      </c>
      <c r="C185" s="108">
        <f>C68</f>
        <v>13720.5</v>
      </c>
      <c r="D185" s="108">
        <f t="shared" ref="D185:G185" si="127">D68</f>
        <v>12263.2</v>
      </c>
      <c r="E185" s="108">
        <f t="shared" si="127"/>
        <v>4780.1000000000004</v>
      </c>
      <c r="F185" s="108">
        <f t="shared" si="127"/>
        <v>6892.7</v>
      </c>
      <c r="G185" s="108">
        <f t="shared" si="127"/>
        <v>4780.1000000000004</v>
      </c>
      <c r="H185" s="118">
        <f t="shared" si="122"/>
        <v>1.4E-2</v>
      </c>
      <c r="I185" s="154">
        <f t="shared" si="123"/>
        <v>1</v>
      </c>
      <c r="J185" s="119">
        <f t="shared" si="124"/>
        <v>-7483.1</v>
      </c>
      <c r="K185" s="118">
        <f t="shared" si="125"/>
        <v>0.39</v>
      </c>
      <c r="L185" s="124">
        <f t="shared" si="126"/>
        <v>-2112.6</v>
      </c>
    </row>
    <row r="186" spans="1:12" hidden="1" x14ac:dyDescent="0.2">
      <c r="A186" s="106"/>
      <c r="B186" s="107" t="s">
        <v>188</v>
      </c>
      <c r="C186" s="108">
        <f>C159+C142+C128</f>
        <v>72589.600000000006</v>
      </c>
      <c r="D186" s="108">
        <f>D159+D142+D128</f>
        <v>72589.600000000006</v>
      </c>
      <c r="E186" s="108">
        <f>E159+E142+E128</f>
        <v>35457.9</v>
      </c>
      <c r="F186" s="108">
        <f>F159+F142+F128</f>
        <v>30373.3</v>
      </c>
      <c r="G186" s="108">
        <f>G159+G142+G128</f>
        <v>35457.9</v>
      </c>
      <c r="H186" s="118">
        <f t="shared" si="122"/>
        <v>0.10299999999999999</v>
      </c>
      <c r="I186" s="154">
        <f t="shared" si="123"/>
        <v>1</v>
      </c>
      <c r="J186" s="119">
        <f t="shared" si="124"/>
        <v>-37131.699999999997</v>
      </c>
      <c r="K186" s="118">
        <f t="shared" si="125"/>
        <v>0.48799999999999999</v>
      </c>
      <c r="L186" s="124">
        <f t="shared" si="126"/>
        <v>5084.6000000000004</v>
      </c>
    </row>
    <row r="187" spans="1:12" hidden="1" x14ac:dyDescent="0.2">
      <c r="A187" s="106" t="s">
        <v>10</v>
      </c>
      <c r="B187" s="107" t="s">
        <v>114</v>
      </c>
      <c r="C187" s="108">
        <f>C69+C130+C144+C161</f>
        <v>8442.2000000000007</v>
      </c>
      <c r="D187" s="108">
        <f>D69+D130+D144+D161</f>
        <v>7753.8</v>
      </c>
      <c r="E187" s="108">
        <f>E69+E130+E144+E161</f>
        <v>1893.3</v>
      </c>
      <c r="F187" s="108">
        <f>F69+F130+F144+F161</f>
        <v>5126.5</v>
      </c>
      <c r="G187" s="108">
        <f>G69+G130+G144+G161</f>
        <v>1893.3</v>
      </c>
      <c r="H187" s="118">
        <f t="shared" si="122"/>
        <v>5.0000000000000001E-3</v>
      </c>
      <c r="I187" s="154">
        <f t="shared" si="123"/>
        <v>1</v>
      </c>
      <c r="J187" s="119">
        <f t="shared" si="124"/>
        <v>-5860.5</v>
      </c>
      <c r="K187" s="118">
        <f t="shared" si="125"/>
        <v>0.24399999999999999</v>
      </c>
      <c r="L187" s="124">
        <f t="shared" si="126"/>
        <v>-3233.2</v>
      </c>
    </row>
    <row r="188" spans="1:12" hidden="1" x14ac:dyDescent="0.2">
      <c r="A188" s="106" t="s">
        <v>10</v>
      </c>
      <c r="B188" s="111" t="s">
        <v>80</v>
      </c>
      <c r="C188" s="129"/>
      <c r="D188" s="151"/>
      <c r="E188" s="151"/>
      <c r="F188" s="151"/>
      <c r="G188" s="151"/>
      <c r="H188" s="118">
        <f t="shared" si="122"/>
        <v>0</v>
      </c>
      <c r="I188" s="154" t="str">
        <f t="shared" si="123"/>
        <v>0,0%</v>
      </c>
      <c r="J188" s="119">
        <f t="shared" si="124"/>
        <v>0</v>
      </c>
      <c r="K188" s="118" t="e">
        <f t="shared" si="125"/>
        <v>#DIV/0!</v>
      </c>
      <c r="L188" s="124">
        <f t="shared" si="126"/>
        <v>0</v>
      </c>
    </row>
    <row r="189" spans="1:12" hidden="1" x14ac:dyDescent="0.2">
      <c r="A189" s="106"/>
      <c r="B189" s="111" t="s">
        <v>120</v>
      </c>
      <c r="C189" s="108">
        <f>C70+C77+C96+C123+C136+C150+C167</f>
        <v>377154.6</v>
      </c>
      <c r="D189" s="108">
        <f>D70+D77+D96+D123+D136+D150+D167</f>
        <v>398992</v>
      </c>
      <c r="E189" s="108">
        <f>E70+E77+E96+E123+E136+E150+E167</f>
        <v>107071.3</v>
      </c>
      <c r="F189" s="108">
        <f>F70+F77+F96+F123+F136+F150+F167</f>
        <v>170853.6</v>
      </c>
      <c r="G189" s="108">
        <f>G70+G77+G96+G123+G136+G150+G167</f>
        <v>102059.7</v>
      </c>
      <c r="H189" s="118">
        <f t="shared" si="122"/>
        <v>0.29499999999999998</v>
      </c>
      <c r="I189" s="154">
        <f t="shared" si="123"/>
        <v>0.95299999999999996</v>
      </c>
      <c r="J189" s="119">
        <f t="shared" si="124"/>
        <v>-296932.3</v>
      </c>
      <c r="K189" s="118">
        <f t="shared" si="125"/>
        <v>0.25600000000000001</v>
      </c>
      <c r="L189" s="124">
        <f t="shared" si="126"/>
        <v>-68793.899999999994</v>
      </c>
    </row>
    <row r="190" spans="1:12" x14ac:dyDescent="0.2">
      <c r="B190" s="131"/>
      <c r="C190" s="34"/>
      <c r="D190" s="35"/>
      <c r="E190" s="35"/>
      <c r="F190" s="35"/>
      <c r="G190" s="35"/>
      <c r="H190" s="37"/>
      <c r="I190" s="37"/>
      <c r="J190" s="38"/>
      <c r="K190" s="37"/>
      <c r="L190" s="35"/>
    </row>
    <row r="191" spans="1:12" x14ac:dyDescent="0.2">
      <c r="A191" s="76"/>
      <c r="D191" s="35"/>
      <c r="H191" s="74" t="s">
        <v>10</v>
      </c>
    </row>
    <row r="192" spans="1:12" x14ac:dyDescent="0.2">
      <c r="B192" s="87"/>
      <c r="C192" s="88"/>
      <c r="D192" s="89"/>
      <c r="E192" s="90"/>
      <c r="F192" s="45"/>
      <c r="G192" s="45"/>
      <c r="H192" s="91"/>
      <c r="I192" s="91"/>
      <c r="J192" s="91"/>
      <c r="K192" s="74" t="s">
        <v>10</v>
      </c>
      <c r="L192" s="2"/>
    </row>
    <row r="193" spans="2:10" x14ac:dyDescent="0.2">
      <c r="B193" s="92"/>
      <c r="C193" s="92"/>
      <c r="D193" s="89"/>
      <c r="E193" s="91"/>
      <c r="F193" s="91"/>
      <c r="G193" s="91"/>
      <c r="H193" s="91"/>
      <c r="I193" s="91"/>
      <c r="J193" s="93"/>
    </row>
    <row r="196" spans="2:10" x14ac:dyDescent="0.2">
      <c r="E196" s="74" t="s">
        <v>10</v>
      </c>
    </row>
  </sheetData>
  <customSheetViews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1">
    <mergeCell ref="H174:H175"/>
    <mergeCell ref="J174:J175"/>
    <mergeCell ref="K174:K175"/>
    <mergeCell ref="H1:L1"/>
    <mergeCell ref="L174:L175"/>
    <mergeCell ref="A2:K2"/>
    <mergeCell ref="C174:C175"/>
    <mergeCell ref="D174:D175"/>
    <mergeCell ref="E174:E175"/>
    <mergeCell ref="G174:G175"/>
    <mergeCell ref="F174:F175"/>
  </mergeCells>
  <phoneticPr fontId="0" type="noConversion"/>
  <pageMargins left="0.27559055118110237" right="0.19685039370078741" top="0.24" bottom="0.24" header="0.15748031496062992" footer="0.17"/>
  <pageSetup paperSize="9" scale="89" fitToHeight="20" orientation="landscape" blackAndWhite="1" horizontalDpi="1200" verticalDpi="1200" r:id="rId29"/>
  <headerFooter alignWithMargins="0">
    <oddFooter>&amp;R&amp;"Arial Narrow,обычный"&amp;8Лист &amp;P из &amp;N</oddFooter>
  </headerFooter>
  <rowBreaks count="64" manualBreakCount="64">
    <brk id="19" max="11" man="1"/>
    <brk id="22" max="16383" man="1"/>
    <brk id="29" max="11" man="1"/>
    <brk id="36" max="16383" man="1"/>
    <brk id="46" max="11" man="1"/>
    <brk id="47" max="11" man="1"/>
    <brk id="48" max="11" man="1"/>
    <brk id="49" max="11" man="1"/>
    <brk id="50" max="16383" man="1"/>
    <brk id="51" max="11" man="1"/>
    <brk id="52" max="11" man="1"/>
    <brk id="54" max="11" man="1"/>
    <brk id="57" max="11" man="1"/>
    <brk id="58" max="11" man="1"/>
    <brk id="62" max="11" man="1"/>
    <brk id="79" max="11" man="1"/>
    <brk id="80" max="11" man="1"/>
    <brk id="81" max="11" man="1"/>
    <brk id="84" max="11" man="1"/>
    <brk id="94" max="16383" man="1"/>
    <brk id="112" max="11" man="1"/>
    <brk id="113" max="16383" man="1"/>
    <brk id="116" max="11" man="1"/>
    <brk id="124" max="11" man="1"/>
    <brk id="125" max="11" man="1"/>
    <brk id="202" max="12" man="1"/>
    <brk id="210" max="12" man="1"/>
    <brk id="211" max="12" man="1"/>
    <brk id="212" max="16383" man="1"/>
    <brk id="214" max="12" man="1"/>
    <brk id="215" max="12" man="1"/>
    <brk id="218" max="16383" man="1"/>
    <brk id="219" max="16383" man="1"/>
    <brk id="222" max="13" man="1"/>
    <brk id="223" max="16383" man="1"/>
    <brk id="224" max="13" man="1"/>
    <brk id="226" max="13" man="1"/>
    <brk id="229" max="13" man="1"/>
    <brk id="230" max="13" man="1"/>
    <brk id="232" max="13" man="1"/>
    <brk id="233" max="13" man="1"/>
    <brk id="240" max="13" man="1"/>
    <brk id="246" max="13" man="1"/>
    <brk id="247" max="13" man="1"/>
    <brk id="248" max="13" man="1"/>
    <brk id="251" max="13" man="1"/>
    <brk id="252" max="16383" man="1"/>
    <brk id="255" max="13" man="1"/>
    <brk id="257" max="16383" man="1"/>
    <brk id="259" max="16383" man="1"/>
    <brk id="260" max="13" man="1"/>
    <brk id="261" max="13" man="1"/>
    <brk id="262" max="13" man="1"/>
    <brk id="268" max="13" man="1"/>
    <brk id="270" max="13" man="1"/>
    <brk id="275" max="13" man="1"/>
    <brk id="277" max="13" man="1"/>
    <brk id="280" max="13" man="1"/>
    <brk id="282" max="13" man="1"/>
    <brk id="290" max="13" man="1"/>
    <brk id="291" max="16383" man="1"/>
    <brk id="299" max="13" man="1"/>
    <brk id="303" max="13" man="1"/>
    <brk id="31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Елена Е. Радчевская</cp:lastModifiedBy>
  <cp:lastPrinted>2015-07-08T08:22:16Z</cp:lastPrinted>
  <dcterms:created xsi:type="dcterms:W3CDTF">1998-04-06T06:06:47Z</dcterms:created>
  <dcterms:modified xsi:type="dcterms:W3CDTF">2015-08-28T11:17:33Z</dcterms:modified>
</cp:coreProperties>
</file>