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бюджета'!$A$1:$L$245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бюджета'!$A$1:$L$245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бюджета'!$A$1:$K$244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бюджета'!$A$1:$K$245</definedName>
    <definedName name="Z_4F278C51_CC0C_4908_B19B_FD853FE30C23_.wvu.PrintArea" localSheetId="0" hidden="1">'Анализ бюджета'!$A$1:$K$244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бюджета'!$A$1:$L$245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бюджета'!$42:$43,'Анализ бюджета'!#REF!,'Анализ бюджета'!$182:$182</definedName>
    <definedName name="Z_735893B7_5E6F_4E87_8F79_7422E435EC59_.wvu.PrintArea" localSheetId="0" hidden="1">'Анализ бюджета'!$A$1:$K$247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бюджета'!$33:$39</definedName>
    <definedName name="Z_8F58F720_5478_11D7_8E43_00002120D636_.wvu.PrintArea" localSheetId="0" hidden="1">'Анализ бюджета'!$A$2:$K$63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бюджета'!$A$1:$L$245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бюджета'!$42:$43,'Анализ бюджета'!#REF!,'Анализ бюджета'!#REF!,'Анализ бюджета'!$182:$182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бюджета'!$A$1:$K$247</definedName>
    <definedName name="Z_97B5DCE1_CCA4_11D7_B6CC_0007E980B7D4_.wvu.Rows" localSheetId="0" hidden="1">'Анализ бюджета'!#REF!,'Анализ бюджета'!$33:$39</definedName>
    <definedName name="Z_A91D99C2_8122_48C0_91AB_172E51C62B1D_.wvu.PrintArea" localSheetId="0" hidden="1">'Анализ бюджета'!$A$1:$K$244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бюджета'!$A$1:$L$245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бюджета'!$182:$182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бюджета'!$A$1:$K$244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бюджета'!$A$1:$L$245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бюджета'!$42:$43,'Анализ бюджета'!#REF!,'Анализ бюджета'!$182:$182</definedName>
    <definedName name="Z_E64E5F61_FD5E_11DA_AA5B_0004761D6C8E_.wvu.PrintArea" localSheetId="0" hidden="1">'Анализ бюджета'!$A$1:$K$244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бюджета'!$G$62</definedName>
    <definedName name="Всего_расходов_2002">'Анализ бюджета'!#REF!</definedName>
    <definedName name="Всего_расходов_2003">'Анализ бюджета'!$G$162</definedName>
    <definedName name="_xlnm.Print_Titles" localSheetId="0">'Анализ бюджета'!$4:$5</definedName>
    <definedName name="_xlnm.Print_Area" localSheetId="0">'Анализ бюджета'!$A$1:$L$227</definedName>
  </definedNames>
  <calcPr calcId="1445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D162" i="1" l="1"/>
  <c r="F162" i="1"/>
  <c r="G162" i="1"/>
  <c r="C162" i="1"/>
  <c r="L176" i="1"/>
  <c r="K176" i="1"/>
  <c r="J176" i="1"/>
  <c r="L167" i="1"/>
  <c r="K167" i="1"/>
  <c r="J167" i="1"/>
  <c r="L194" i="1"/>
  <c r="L195" i="1"/>
  <c r="K194" i="1"/>
  <c r="K195" i="1"/>
  <c r="J194" i="1"/>
  <c r="J195" i="1"/>
  <c r="F180" i="1"/>
  <c r="G180" i="1"/>
  <c r="C180" i="1"/>
  <c r="D180" i="1"/>
  <c r="C200" i="1"/>
  <c r="D200" i="1"/>
  <c r="F200" i="1"/>
  <c r="G200" i="1"/>
  <c r="L203" i="1"/>
  <c r="K203" i="1"/>
  <c r="J203" i="1"/>
  <c r="L214" i="1"/>
  <c r="L215" i="1"/>
  <c r="K214" i="1"/>
  <c r="K215" i="1"/>
  <c r="J214" i="1"/>
  <c r="J215" i="1"/>
  <c r="G209" i="1"/>
  <c r="G140" i="1" l="1"/>
  <c r="K72" i="1" l="1"/>
  <c r="K73" i="1"/>
  <c r="K198" i="1"/>
  <c r="K128" i="1"/>
  <c r="J128" i="1"/>
  <c r="J114" i="1" l="1"/>
  <c r="J88" i="1"/>
  <c r="J53" i="1"/>
  <c r="J51" i="1"/>
  <c r="J48" i="1"/>
  <c r="J37" i="1"/>
  <c r="J25" i="1"/>
  <c r="G39" i="1" l="1"/>
  <c r="K38" i="1"/>
  <c r="K34" i="1"/>
  <c r="K36" i="1"/>
  <c r="K37" i="1"/>
  <c r="L53" i="1" l="1"/>
  <c r="L54" i="1"/>
  <c r="K53" i="1"/>
  <c r="K54" i="1"/>
  <c r="J54" i="1"/>
  <c r="D52" i="1" l="1"/>
  <c r="E52" i="1"/>
  <c r="F52" i="1"/>
  <c r="G52" i="1"/>
  <c r="C52" i="1"/>
  <c r="F19" i="1"/>
  <c r="D33" i="1" l="1"/>
  <c r="J29" i="1"/>
  <c r="K29" i="1"/>
  <c r="L29" i="1"/>
  <c r="G171" i="1" l="1"/>
  <c r="J178" i="1"/>
  <c r="K178" i="1"/>
  <c r="L178" i="1"/>
  <c r="E177" i="1"/>
  <c r="F177" i="1"/>
  <c r="G177" i="1"/>
  <c r="D177" i="1"/>
  <c r="C177" i="1"/>
  <c r="C161" i="1" s="1"/>
  <c r="G142" i="1"/>
  <c r="G136" i="1" s="1"/>
  <c r="E136" i="1"/>
  <c r="J153" i="1"/>
  <c r="K153" i="1"/>
  <c r="L153" i="1"/>
  <c r="L146" i="1"/>
  <c r="K146" i="1"/>
  <c r="J146" i="1"/>
  <c r="D142" i="1"/>
  <c r="D136" i="1" s="1"/>
  <c r="D145" i="1"/>
  <c r="E145" i="1"/>
  <c r="F145" i="1"/>
  <c r="F142" i="1" s="1"/>
  <c r="G145" i="1"/>
  <c r="C145" i="1"/>
  <c r="G118" i="1"/>
  <c r="D118" i="1"/>
  <c r="C118" i="1"/>
  <c r="D127" i="1"/>
  <c r="E127" i="1"/>
  <c r="F127" i="1"/>
  <c r="G127" i="1"/>
  <c r="C127" i="1"/>
  <c r="L88" i="1"/>
  <c r="K88" i="1"/>
  <c r="G106" i="1"/>
  <c r="G105" i="1"/>
  <c r="G102" i="1"/>
  <c r="E101" i="1"/>
  <c r="F101" i="1"/>
  <c r="C101" i="1"/>
  <c r="D102" i="1"/>
  <c r="D106" i="1"/>
  <c r="D105" i="1"/>
  <c r="D104" i="1"/>
  <c r="L103" i="1"/>
  <c r="K103" i="1"/>
  <c r="J103" i="1"/>
  <c r="J70" i="1"/>
  <c r="F125" i="1"/>
  <c r="F118" i="1" s="1"/>
  <c r="F139" i="1"/>
  <c r="F107" i="1"/>
  <c r="J71" i="1"/>
  <c r="L71" i="1"/>
  <c r="E68" i="1"/>
  <c r="F68" i="1"/>
  <c r="F65" i="1" s="1"/>
  <c r="E154" i="1"/>
  <c r="I143" i="1"/>
  <c r="K143" i="1"/>
  <c r="L143" i="1"/>
  <c r="K151" i="1"/>
  <c r="I151" i="1"/>
  <c r="J151" i="1"/>
  <c r="L151" i="1"/>
  <c r="K152" i="1"/>
  <c r="J152" i="1"/>
  <c r="L152" i="1"/>
  <c r="E125" i="1"/>
  <c r="E118" i="1" s="1"/>
  <c r="L129" i="1"/>
  <c r="K129" i="1"/>
  <c r="J129" i="1"/>
  <c r="I129" i="1"/>
  <c r="E110" i="1"/>
  <c r="F110" i="1"/>
  <c r="G110" i="1"/>
  <c r="E93" i="1"/>
  <c r="E67" i="1"/>
  <c r="E65" i="1" s="1"/>
  <c r="D65" i="1"/>
  <c r="C68" i="1"/>
  <c r="C65" i="1" s="1"/>
  <c r="K105" i="1" l="1"/>
  <c r="K177" i="1"/>
  <c r="F136" i="1"/>
  <c r="J177" i="1"/>
  <c r="L177" i="1"/>
  <c r="D161" i="1"/>
  <c r="D101" i="1"/>
  <c r="D95" i="1" s="1"/>
  <c r="G101" i="1"/>
  <c r="G95" i="1" s="1"/>
  <c r="E202" i="1"/>
  <c r="E200" i="1" s="1"/>
  <c r="E189" i="1"/>
  <c r="E183" i="1"/>
  <c r="E180" i="1" s="1"/>
  <c r="G161" i="1"/>
  <c r="F161" i="1"/>
  <c r="E164" i="1"/>
  <c r="E162" i="1" l="1"/>
  <c r="E161" i="1" s="1"/>
  <c r="L95" i="1"/>
  <c r="G93" i="1"/>
  <c r="J161" i="1"/>
  <c r="L58" i="1"/>
  <c r="K58" i="1"/>
  <c r="J58" i="1"/>
  <c r="I58" i="1"/>
  <c r="I51" i="1"/>
  <c r="I46" i="1"/>
  <c r="I47" i="1"/>
  <c r="D57" i="1" l="1"/>
  <c r="E57" i="1"/>
  <c r="F57" i="1"/>
  <c r="G57" i="1"/>
  <c r="C57" i="1"/>
  <c r="L55" i="1" l="1"/>
  <c r="K55" i="1"/>
  <c r="J55" i="1"/>
  <c r="I55" i="1"/>
  <c r="I229" i="1" l="1"/>
  <c r="I230" i="1"/>
  <c r="I233" i="1"/>
  <c r="K232" i="1"/>
  <c r="K216" i="1"/>
  <c r="K206" i="1"/>
  <c r="K207" i="1"/>
  <c r="K208" i="1"/>
  <c r="K209" i="1"/>
  <c r="K170" i="1"/>
  <c r="K171" i="1"/>
  <c r="K155" i="1"/>
  <c r="K156" i="1"/>
  <c r="K158" i="1"/>
  <c r="K159" i="1"/>
  <c r="K160" i="1"/>
  <c r="K148" i="1"/>
  <c r="K150" i="1"/>
  <c r="K130" i="1"/>
  <c r="K131" i="1"/>
  <c r="K132" i="1"/>
  <c r="K133" i="1"/>
  <c r="K134" i="1"/>
  <c r="K135" i="1"/>
  <c r="K139" i="1"/>
  <c r="K140" i="1"/>
  <c r="K141" i="1"/>
  <c r="K142" i="1"/>
  <c r="K120" i="1"/>
  <c r="K121" i="1"/>
  <c r="K122" i="1"/>
  <c r="K124" i="1"/>
  <c r="K125" i="1"/>
  <c r="K127" i="1"/>
  <c r="K10" i="1"/>
  <c r="K12" i="1"/>
  <c r="K15" i="1"/>
  <c r="K18" i="1"/>
  <c r="K20" i="1"/>
  <c r="K21" i="1"/>
  <c r="K24" i="1"/>
  <c r="K25" i="1"/>
  <c r="K26" i="1"/>
  <c r="K27" i="1"/>
  <c r="K28" i="1"/>
  <c r="K30" i="1"/>
  <c r="K32" i="1"/>
  <c r="K33" i="1"/>
  <c r="K41" i="1"/>
  <c r="K44" i="1"/>
  <c r="K46" i="1"/>
  <c r="K47" i="1"/>
  <c r="K49" i="1"/>
  <c r="K50" i="1"/>
  <c r="K51" i="1"/>
  <c r="K56" i="1"/>
  <c r="K59" i="1"/>
  <c r="I148" i="1"/>
  <c r="I150" i="1"/>
  <c r="I140" i="1"/>
  <c r="I141" i="1"/>
  <c r="I124" i="1"/>
  <c r="I125" i="1"/>
  <c r="I127" i="1"/>
  <c r="I130" i="1"/>
  <c r="I132" i="1"/>
  <c r="I133" i="1"/>
  <c r="I134" i="1"/>
  <c r="I135" i="1"/>
  <c r="I120" i="1"/>
  <c r="I121" i="1"/>
  <c r="I107" i="1"/>
  <c r="I109" i="1"/>
  <c r="I110" i="1"/>
  <c r="I112" i="1"/>
  <c r="I113" i="1"/>
  <c r="I114" i="1"/>
  <c r="I116" i="1"/>
  <c r="I59" i="1"/>
  <c r="I34" i="1"/>
  <c r="I36" i="1"/>
  <c r="I38" i="1"/>
  <c r="I33" i="1"/>
  <c r="G228" i="1"/>
  <c r="K109" i="1" l="1"/>
  <c r="K107" i="1"/>
  <c r="E39" i="1"/>
  <c r="D39" i="1"/>
  <c r="I25" i="1" l="1"/>
  <c r="L25" i="1"/>
  <c r="L46" i="1"/>
  <c r="L47" i="1"/>
  <c r="L48" i="1"/>
  <c r="L49" i="1"/>
  <c r="L50" i="1"/>
  <c r="L51" i="1"/>
  <c r="L56" i="1"/>
  <c r="L59" i="1"/>
  <c r="L61" i="1"/>
  <c r="J56" i="1"/>
  <c r="J59" i="1"/>
  <c r="J61" i="1"/>
  <c r="J47" i="1"/>
  <c r="J49" i="1"/>
  <c r="J50" i="1"/>
  <c r="D60" i="1"/>
  <c r="E60" i="1"/>
  <c r="F60" i="1"/>
  <c r="G60" i="1"/>
  <c r="C60" i="1"/>
  <c r="L60" i="1" l="1"/>
  <c r="J60" i="1"/>
  <c r="I175" i="1"/>
  <c r="I188" i="1"/>
  <c r="I193" i="1"/>
  <c r="I218" i="1"/>
  <c r="L216" i="1"/>
  <c r="J216" i="1"/>
  <c r="C142" i="1" l="1"/>
  <c r="C136" i="1" s="1"/>
  <c r="K136" i="1"/>
  <c r="G154" i="1"/>
  <c r="G89" i="1"/>
  <c r="I145" i="1"/>
  <c r="E89" i="1"/>
  <c r="E87" i="1" s="1"/>
  <c r="G87" i="1" l="1"/>
  <c r="E117" i="1"/>
  <c r="I142" i="1"/>
  <c r="G117" i="1"/>
  <c r="I136" i="1" l="1"/>
  <c r="F154" i="1"/>
  <c r="F117" i="1" s="1"/>
  <c r="D89" i="1"/>
  <c r="J193" i="1"/>
  <c r="C196" i="1"/>
  <c r="E196" i="1"/>
  <c r="F196" i="1"/>
  <c r="G196" i="1"/>
  <c r="D196" i="1"/>
  <c r="L198" i="1"/>
  <c r="D179" i="1"/>
  <c r="L218" i="1"/>
  <c r="K218" i="1"/>
  <c r="J218" i="1"/>
  <c r="I201" i="1"/>
  <c r="J201" i="1"/>
  <c r="G217" i="1"/>
  <c r="F217" i="1"/>
  <c r="F199" i="1" s="1"/>
  <c r="E217" i="1"/>
  <c r="E199" i="1" s="1"/>
  <c r="D217" i="1"/>
  <c r="D199" i="1" s="1"/>
  <c r="C217" i="1"/>
  <c r="C199" i="1" s="1"/>
  <c r="I217" i="1" l="1"/>
  <c r="G199" i="1"/>
  <c r="K217" i="1"/>
  <c r="J217" i="1"/>
  <c r="L217" i="1"/>
  <c r="C95" i="1"/>
  <c r="C93" i="1" s="1"/>
  <c r="I50" i="1" l="1"/>
  <c r="D45" i="1"/>
  <c r="E45" i="1"/>
  <c r="F45" i="1"/>
  <c r="G45" i="1"/>
  <c r="C45" i="1"/>
  <c r="K57" i="1"/>
  <c r="I57" i="1"/>
  <c r="K45" i="1" l="1"/>
  <c r="J45" i="1"/>
  <c r="L57" i="1"/>
  <c r="J57" i="1"/>
  <c r="L230" i="1"/>
  <c r="L229" i="1"/>
  <c r="L222" i="1"/>
  <c r="L220" i="1"/>
  <c r="L213" i="1"/>
  <c r="L206" i="1"/>
  <c r="L207" i="1"/>
  <c r="L208" i="1"/>
  <c r="L209" i="1"/>
  <c r="L205" i="1"/>
  <c r="L202" i="1"/>
  <c r="L197" i="1"/>
  <c r="L193" i="1"/>
  <c r="L186" i="1"/>
  <c r="L187" i="1"/>
  <c r="L188" i="1"/>
  <c r="L189" i="1"/>
  <c r="L185" i="1"/>
  <c r="L183" i="1"/>
  <c r="L181" i="1"/>
  <c r="L175" i="1"/>
  <c r="L168" i="1"/>
  <c r="L169" i="1"/>
  <c r="L170" i="1"/>
  <c r="L171" i="1"/>
  <c r="L166" i="1"/>
  <c r="L164" i="1"/>
  <c r="L163" i="1"/>
  <c r="L159" i="1"/>
  <c r="L160" i="1"/>
  <c r="L158" i="1"/>
  <c r="L155" i="1"/>
  <c r="L154" i="1"/>
  <c r="L148" i="1"/>
  <c r="L149" i="1"/>
  <c r="L150" i="1"/>
  <c r="L147" i="1"/>
  <c r="L120" i="1"/>
  <c r="L121" i="1"/>
  <c r="L122" i="1"/>
  <c r="L123" i="1"/>
  <c r="L124" i="1"/>
  <c r="L125" i="1"/>
  <c r="L127" i="1"/>
  <c r="L128" i="1"/>
  <c r="L130" i="1"/>
  <c r="L131" i="1"/>
  <c r="L138" i="1"/>
  <c r="L132" i="1"/>
  <c r="L133" i="1"/>
  <c r="L134" i="1"/>
  <c r="L135" i="1"/>
  <c r="L136" i="1"/>
  <c r="L139" i="1"/>
  <c r="L140" i="1"/>
  <c r="L141" i="1"/>
  <c r="L142" i="1"/>
  <c r="L145" i="1"/>
  <c r="L118" i="1"/>
  <c r="L116" i="1"/>
  <c r="L92" i="1"/>
  <c r="L96" i="1"/>
  <c r="L97" i="1"/>
  <c r="L98" i="1"/>
  <c r="L99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91" i="1"/>
  <c r="L84" i="1"/>
  <c r="L67" i="1"/>
  <c r="L68" i="1"/>
  <c r="L70" i="1"/>
  <c r="L72" i="1"/>
  <c r="L73" i="1"/>
  <c r="L74" i="1"/>
  <c r="L75" i="1"/>
  <c r="L76" i="1"/>
  <c r="L77" i="1"/>
  <c r="L78" i="1"/>
  <c r="L79" i="1"/>
  <c r="L66" i="1"/>
  <c r="L44" i="1"/>
  <c r="L34" i="1"/>
  <c r="L36" i="1"/>
  <c r="L37" i="1"/>
  <c r="L38" i="1"/>
  <c r="L40" i="1"/>
  <c r="L41" i="1"/>
  <c r="L30" i="1"/>
  <c r="L32" i="1"/>
  <c r="L24" i="1"/>
  <c r="L26" i="1"/>
  <c r="L27" i="1"/>
  <c r="L15" i="1"/>
  <c r="L18" i="1"/>
  <c r="L20" i="1"/>
  <c r="L21" i="1"/>
  <c r="L10" i="1"/>
  <c r="L12" i="1"/>
  <c r="G9" i="1"/>
  <c r="G11" i="1"/>
  <c r="G14" i="1"/>
  <c r="G13" i="1" s="1"/>
  <c r="G17" i="1"/>
  <c r="G19" i="1"/>
  <c r="G23" i="1"/>
  <c r="G31" i="1"/>
  <c r="G35" i="1"/>
  <c r="G43" i="1"/>
  <c r="G42" i="1" s="1"/>
  <c r="L45" i="1"/>
  <c r="G65" i="1"/>
  <c r="G80" i="1"/>
  <c r="G179" i="1"/>
  <c r="G219" i="1"/>
  <c r="G221" i="1"/>
  <c r="G231" i="1"/>
  <c r="G235" i="1"/>
  <c r="G236" i="1"/>
  <c r="G237" i="1"/>
  <c r="G238" i="1"/>
  <c r="G240" i="1"/>
  <c r="F240" i="1"/>
  <c r="F238" i="1"/>
  <c r="F237" i="1"/>
  <c r="F236" i="1"/>
  <c r="F235" i="1"/>
  <c r="F231" i="1"/>
  <c r="F228" i="1"/>
  <c r="F221" i="1"/>
  <c r="F219" i="1"/>
  <c r="F179" i="1"/>
  <c r="F93" i="1"/>
  <c r="F89" i="1"/>
  <c r="F80" i="1"/>
  <c r="F43" i="1"/>
  <c r="F42" i="1" s="1"/>
  <c r="F39" i="1"/>
  <c r="F35" i="1"/>
  <c r="F31" i="1"/>
  <c r="F23" i="1"/>
  <c r="F17" i="1"/>
  <c r="F14" i="1"/>
  <c r="F13" i="1" s="1"/>
  <c r="F11" i="1"/>
  <c r="F9" i="1"/>
  <c r="F8" i="1" s="1"/>
  <c r="F22" i="1" l="1"/>
  <c r="G22" i="1"/>
  <c r="F87" i="1"/>
  <c r="G8" i="1"/>
  <c r="L8" i="1" s="1"/>
  <c r="L52" i="1"/>
  <c r="L19" i="1"/>
  <c r="L31" i="1"/>
  <c r="L39" i="1"/>
  <c r="L11" i="1"/>
  <c r="L17" i="1"/>
  <c r="L23" i="1"/>
  <c r="L35" i="1"/>
  <c r="G227" i="1"/>
  <c r="H231" i="1" s="1"/>
  <c r="L219" i="1"/>
  <c r="L196" i="1"/>
  <c r="L179" i="1"/>
  <c r="L80" i="1"/>
  <c r="L231" i="1"/>
  <c r="L221" i="1"/>
  <c r="L180" i="1"/>
  <c r="L162" i="1"/>
  <c r="L117" i="1"/>
  <c r="L89" i="1"/>
  <c r="L65" i="1"/>
  <c r="L43" i="1"/>
  <c r="L161" i="1"/>
  <c r="L13" i="1"/>
  <c r="L93" i="1"/>
  <c r="L228" i="1"/>
  <c r="L28" i="1"/>
  <c r="L33" i="1"/>
  <c r="L14" i="1"/>
  <c r="L9" i="1"/>
  <c r="G16" i="1"/>
  <c r="F16" i="1"/>
  <c r="F227" i="1"/>
  <c r="E179" i="1"/>
  <c r="I66" i="1"/>
  <c r="I67" i="1"/>
  <c r="I68" i="1"/>
  <c r="I70" i="1"/>
  <c r="I72" i="1"/>
  <c r="I73" i="1"/>
  <c r="I75" i="1"/>
  <c r="I77" i="1"/>
  <c r="I78" i="1"/>
  <c r="I79" i="1"/>
  <c r="I82" i="1"/>
  <c r="I83" i="1"/>
  <c r="I84" i="1"/>
  <c r="I85" i="1"/>
  <c r="I86" i="1"/>
  <c r="I91" i="1"/>
  <c r="I92" i="1"/>
  <c r="I95" i="1"/>
  <c r="I96" i="1"/>
  <c r="I97" i="1"/>
  <c r="I98" i="1"/>
  <c r="I99" i="1"/>
  <c r="I102" i="1"/>
  <c r="I104" i="1"/>
  <c r="I106" i="1"/>
  <c r="I122" i="1"/>
  <c r="I147" i="1"/>
  <c r="I155" i="1"/>
  <c r="I156" i="1"/>
  <c r="I158" i="1"/>
  <c r="I159" i="1"/>
  <c r="I160" i="1"/>
  <c r="I163" i="1"/>
  <c r="I164" i="1"/>
  <c r="I166" i="1"/>
  <c r="I168" i="1"/>
  <c r="I169" i="1"/>
  <c r="I171" i="1"/>
  <c r="I172" i="1"/>
  <c r="I173" i="1"/>
  <c r="I174" i="1"/>
  <c r="I181" i="1"/>
  <c r="I182" i="1"/>
  <c r="I183" i="1"/>
  <c r="I185" i="1"/>
  <c r="I186" i="1"/>
  <c r="I187" i="1"/>
  <c r="I189" i="1"/>
  <c r="I190" i="1"/>
  <c r="I191" i="1"/>
  <c r="I192" i="1"/>
  <c r="I194" i="1"/>
  <c r="I197" i="1"/>
  <c r="I198" i="1"/>
  <c r="I202" i="1"/>
  <c r="I205" i="1"/>
  <c r="I206" i="1"/>
  <c r="I207" i="1"/>
  <c r="I209" i="1"/>
  <c r="I210" i="1"/>
  <c r="I211" i="1"/>
  <c r="I212" i="1"/>
  <c r="I213" i="1"/>
  <c r="I220" i="1"/>
  <c r="I222" i="1"/>
  <c r="E221" i="1"/>
  <c r="E219" i="1"/>
  <c r="I154" i="1"/>
  <c r="D154" i="1"/>
  <c r="D117" i="1" s="1"/>
  <c r="I118" i="1"/>
  <c r="D110" i="1"/>
  <c r="I101" i="1"/>
  <c r="I89" i="1"/>
  <c r="E80" i="1"/>
  <c r="D93" i="1"/>
  <c r="C110" i="1"/>
  <c r="L22" i="1" l="1"/>
  <c r="D87" i="1"/>
  <c r="G7" i="1"/>
  <c r="G6" i="1" s="1"/>
  <c r="L42" i="1"/>
  <c r="L87" i="1"/>
  <c r="G223" i="1"/>
  <c r="F7" i="1"/>
  <c r="L16" i="1"/>
  <c r="I196" i="1"/>
  <c r="K65" i="1"/>
  <c r="H176" i="1" l="1"/>
  <c r="H167" i="1"/>
  <c r="H195" i="1"/>
  <c r="H194" i="1"/>
  <c r="H214" i="1"/>
  <c r="H203" i="1"/>
  <c r="H215" i="1"/>
  <c r="H177" i="1"/>
  <c r="H186" i="1"/>
  <c r="H128" i="1"/>
  <c r="H178" i="1"/>
  <c r="H145" i="1"/>
  <c r="H161" i="1"/>
  <c r="H88" i="1"/>
  <c r="H146" i="1"/>
  <c r="H153" i="1"/>
  <c r="H71" i="1"/>
  <c r="H103" i="1"/>
  <c r="H129" i="1"/>
  <c r="G62" i="1"/>
  <c r="H151" i="1"/>
  <c r="H127" i="1"/>
  <c r="H152" i="1"/>
  <c r="L7" i="1"/>
  <c r="H201" i="1"/>
  <c r="H216" i="1"/>
  <c r="H218" i="1"/>
  <c r="H217" i="1"/>
  <c r="L201" i="1"/>
  <c r="F6" i="1"/>
  <c r="F62" i="1" s="1"/>
  <c r="E223" i="1"/>
  <c r="E231" i="1"/>
  <c r="I231" i="1" s="1"/>
  <c r="E228" i="1"/>
  <c r="I10" i="1"/>
  <c r="I12" i="1"/>
  <c r="I15" i="1"/>
  <c r="I18" i="1"/>
  <c r="I20" i="1"/>
  <c r="I21" i="1"/>
  <c r="I24" i="1"/>
  <c r="I26" i="1"/>
  <c r="I27" i="1"/>
  <c r="I30" i="1"/>
  <c r="I32" i="1"/>
  <c r="I41" i="1"/>
  <c r="I44" i="1"/>
  <c r="I56" i="1"/>
  <c r="E43" i="1"/>
  <c r="E42" i="1" s="1"/>
  <c r="E35" i="1"/>
  <c r="E31" i="1"/>
  <c r="E23" i="1"/>
  <c r="E19" i="1"/>
  <c r="E17" i="1"/>
  <c r="E14" i="1"/>
  <c r="E13" i="1" s="1"/>
  <c r="E11" i="1"/>
  <c r="E9" i="1"/>
  <c r="E8" i="1" s="1"/>
  <c r="E22" i="1" l="1"/>
  <c r="H59" i="1"/>
  <c r="H53" i="1"/>
  <c r="H58" i="1"/>
  <c r="H49" i="1"/>
  <c r="H55" i="1"/>
  <c r="H54" i="1"/>
  <c r="H50" i="1"/>
  <c r="H60" i="1"/>
  <c r="H30" i="1"/>
  <c r="H29" i="1"/>
  <c r="H57" i="1"/>
  <c r="H61" i="1"/>
  <c r="H45" i="1"/>
  <c r="G225" i="1"/>
  <c r="H47" i="1"/>
  <c r="H48" i="1"/>
  <c r="H38" i="1"/>
  <c r="H39" i="1"/>
  <c r="H40" i="1"/>
  <c r="H52" i="1"/>
  <c r="H25" i="1"/>
  <c r="L6" i="1"/>
  <c r="L200" i="1"/>
  <c r="L62" i="1"/>
  <c r="L232" i="1" s="1"/>
  <c r="E227" i="1"/>
  <c r="E16" i="1"/>
  <c r="L199" i="1" l="1"/>
  <c r="F223" i="1"/>
  <c r="E7" i="1"/>
  <c r="E6" i="1" s="1"/>
  <c r="I28" i="1"/>
  <c r="L223" i="1" l="1"/>
  <c r="F225" i="1"/>
  <c r="E62" i="1"/>
  <c r="E225" i="1" l="1"/>
  <c r="K145" i="1"/>
  <c r="C89" i="1"/>
  <c r="C87" i="1" s="1"/>
  <c r="I162" i="1" l="1"/>
  <c r="I161" i="1"/>
  <c r="J38" i="1"/>
  <c r="D35" i="1"/>
  <c r="K35" i="1" s="1"/>
  <c r="C35" i="1"/>
  <c r="J109" i="1" l="1"/>
  <c r="J52" i="1" l="1"/>
  <c r="K52" i="1"/>
  <c r="I52" i="1"/>
  <c r="J133" i="1"/>
  <c r="J134" i="1"/>
  <c r="J135" i="1"/>
  <c r="J139" i="1"/>
  <c r="J122" i="1"/>
  <c r="I45" i="1" l="1"/>
  <c r="J46" i="1"/>
  <c r="I65" i="1" l="1"/>
  <c r="D17" i="1"/>
  <c r="K17" i="1" s="1"/>
  <c r="C154" i="1" l="1"/>
  <c r="J127" i="1"/>
  <c r="I93" i="1" l="1"/>
  <c r="K164" i="1" l="1"/>
  <c r="J164" i="1"/>
  <c r="J72" i="1"/>
  <c r="J73" i="1"/>
  <c r="I117" i="1" l="1"/>
  <c r="J121" i="1" l="1"/>
  <c r="J132" i="1" l="1"/>
  <c r="J30" i="1" l="1"/>
  <c r="K202" i="1" l="1"/>
  <c r="J202" i="1"/>
  <c r="I180" i="1" l="1"/>
  <c r="I179" i="1"/>
  <c r="I200" i="1"/>
  <c r="I199" i="1"/>
  <c r="K183" i="1"/>
  <c r="J183" i="1"/>
  <c r="K114" i="1" l="1"/>
  <c r="J67" i="1" l="1"/>
  <c r="K78" i="1" l="1"/>
  <c r="J130" i="1"/>
  <c r="C179" i="1" l="1"/>
  <c r="K147" i="1"/>
  <c r="J147" i="1"/>
  <c r="J148" i="1"/>
  <c r="J149" i="1"/>
  <c r="J150" i="1"/>
  <c r="K96" i="1" l="1"/>
  <c r="K97" i="1"/>
  <c r="K98" i="1"/>
  <c r="K99" i="1"/>
  <c r="K102" i="1"/>
  <c r="K104" i="1"/>
  <c r="K106" i="1"/>
  <c r="J96" i="1"/>
  <c r="J97" i="1"/>
  <c r="J98" i="1"/>
  <c r="J99" i="1"/>
  <c r="J102" i="1"/>
  <c r="J104" i="1"/>
  <c r="J105" i="1"/>
  <c r="J106" i="1"/>
  <c r="J145" i="1" l="1"/>
  <c r="K101" i="1" l="1"/>
  <c r="J101" i="1"/>
  <c r="L156" i="1"/>
  <c r="J156" i="1"/>
  <c r="J131" i="1" l="1"/>
  <c r="J125" i="1"/>
  <c r="K188" i="1"/>
  <c r="K189" i="1"/>
  <c r="K186" i="1"/>
  <c r="J188" i="1"/>
  <c r="J189" i="1"/>
  <c r="J186" i="1"/>
  <c r="L192" i="1"/>
  <c r="K192" i="1"/>
  <c r="J192" i="1"/>
  <c r="L212" i="1" l="1"/>
  <c r="K212" i="1"/>
  <c r="J212" i="1"/>
  <c r="J208" i="1"/>
  <c r="J209" i="1"/>
  <c r="J206" i="1"/>
  <c r="J170" i="1"/>
  <c r="J168" i="1"/>
  <c r="J166" i="1"/>
  <c r="L174" i="1"/>
  <c r="K174" i="1"/>
  <c r="J174" i="1"/>
  <c r="J171" i="1"/>
  <c r="K168" i="1"/>
  <c r="J163" i="1"/>
  <c r="C39" i="1"/>
  <c r="J41" i="1"/>
  <c r="C14" i="1"/>
  <c r="D236" i="1"/>
  <c r="C236" i="1"/>
  <c r="C228" i="1"/>
  <c r="C237" i="1"/>
  <c r="D237" i="1"/>
  <c r="J12" i="1"/>
  <c r="D43" i="1"/>
  <c r="D42" i="1" s="1"/>
  <c r="I43" i="1"/>
  <c r="D31" i="1"/>
  <c r="I31" i="1"/>
  <c r="D23" i="1"/>
  <c r="K23" i="1" s="1"/>
  <c r="I23" i="1"/>
  <c r="D19" i="1"/>
  <c r="K19" i="1" s="1"/>
  <c r="I19" i="1"/>
  <c r="I17" i="1"/>
  <c r="D14" i="1"/>
  <c r="I14" i="1"/>
  <c r="D11" i="1"/>
  <c r="K11" i="1" s="1"/>
  <c r="I11" i="1"/>
  <c r="D9" i="1"/>
  <c r="I9" i="1"/>
  <c r="K31" i="1" l="1"/>
  <c r="D22" i="1"/>
  <c r="K22" i="1" s="1"/>
  <c r="K42" i="1"/>
  <c r="K43" i="1"/>
  <c r="D8" i="1"/>
  <c r="K8" i="1" s="1"/>
  <c r="K9" i="1"/>
  <c r="D13" i="1"/>
  <c r="K13" i="1" s="1"/>
  <c r="K14" i="1"/>
  <c r="I8" i="1"/>
  <c r="I13" i="1"/>
  <c r="I16" i="1"/>
  <c r="I22" i="1"/>
  <c r="D16" i="1"/>
  <c r="K16" i="1" s="1"/>
  <c r="J11" i="1"/>
  <c r="C9" i="1"/>
  <c r="C31" i="1"/>
  <c r="C23" i="1"/>
  <c r="C22" i="1" s="1"/>
  <c r="C11" i="1"/>
  <c r="D80" i="1"/>
  <c r="I80" i="1"/>
  <c r="C80" i="1"/>
  <c r="K222" i="1"/>
  <c r="J222" i="1"/>
  <c r="I221" i="1"/>
  <c r="D221" i="1"/>
  <c r="C221" i="1"/>
  <c r="D7" i="1" l="1"/>
  <c r="K7" i="1" s="1"/>
  <c r="I7" i="1"/>
  <c r="K221" i="1"/>
  <c r="J221" i="1"/>
  <c r="J155" i="1"/>
  <c r="C117" i="1"/>
  <c r="J138" i="1"/>
  <c r="J124" i="1"/>
  <c r="J123" i="1"/>
  <c r="K113" i="1"/>
  <c r="J113" i="1"/>
  <c r="J26" i="1"/>
  <c r="D6" i="1" l="1"/>
  <c r="I6" i="1"/>
  <c r="K117" i="1"/>
  <c r="J159" i="1" l="1"/>
  <c r="K92" i="1"/>
  <c r="J92" i="1"/>
  <c r="J34" i="1"/>
  <c r="J36" i="1" l="1"/>
  <c r="J40" i="1"/>
  <c r="J9" i="1"/>
  <c r="J10" i="1"/>
  <c r="J15" i="1"/>
  <c r="J18" i="1"/>
  <c r="J20" i="1"/>
  <c r="J21" i="1"/>
  <c r="J24" i="1"/>
  <c r="J27" i="1"/>
  <c r="J28" i="1"/>
  <c r="J32" i="1"/>
  <c r="J33" i="1"/>
  <c r="J44" i="1"/>
  <c r="C43" i="1"/>
  <c r="C42" i="1" s="1"/>
  <c r="C19" i="1"/>
  <c r="C17" i="1"/>
  <c r="C13" i="1"/>
  <c r="C8" i="1"/>
  <c r="D62" i="1" l="1"/>
  <c r="I42" i="1"/>
  <c r="J35" i="1"/>
  <c r="J39" i="1"/>
  <c r="J43" i="1"/>
  <c r="J31" i="1"/>
  <c r="J13" i="1"/>
  <c r="J23" i="1"/>
  <c r="J19" i="1"/>
  <c r="J17" i="1"/>
  <c r="J14" i="1"/>
  <c r="J8" i="1"/>
  <c r="C16" i="1"/>
  <c r="C7" i="1" s="1"/>
  <c r="J62" i="1" l="1"/>
  <c r="K62" i="1"/>
  <c r="C6" i="1"/>
  <c r="C62" i="1" s="1"/>
  <c r="J42" i="1"/>
  <c r="J22" i="1"/>
  <c r="J16" i="1"/>
  <c r="I62" i="1" l="1"/>
  <c r="H46" i="1"/>
  <c r="H41" i="1"/>
  <c r="H56" i="1"/>
  <c r="H9" i="1"/>
  <c r="H62" i="1"/>
  <c r="H12" i="1"/>
  <c r="H37" i="1"/>
  <c r="H11" i="1"/>
  <c r="K6" i="1"/>
  <c r="J7" i="1"/>
  <c r="J6" i="1"/>
  <c r="H34" i="1" l="1"/>
  <c r="H26" i="1"/>
  <c r="D235" i="1"/>
  <c r="H36" i="1" l="1"/>
  <c r="H35" i="1"/>
  <c r="H27" i="1"/>
  <c r="H51" i="1"/>
  <c r="H44" i="1"/>
  <c r="H32" i="1"/>
  <c r="H28" i="1"/>
  <c r="H24" i="1"/>
  <c r="H20" i="1"/>
  <c r="H18" i="1"/>
  <c r="H15" i="1"/>
  <c r="H33" i="1"/>
  <c r="H21" i="1"/>
  <c r="H10" i="1"/>
  <c r="H8" i="1"/>
  <c r="H14" i="1"/>
  <c r="H16" i="1"/>
  <c r="H23" i="1"/>
  <c r="H17" i="1"/>
  <c r="H13" i="1"/>
  <c r="H7" i="1"/>
  <c r="H19" i="1"/>
  <c r="H43" i="1"/>
  <c r="H31" i="1"/>
  <c r="H42" i="1"/>
  <c r="H22" i="1"/>
  <c r="H6" i="1"/>
  <c r="J169" i="1" l="1"/>
  <c r="K169" i="1"/>
  <c r="D238" i="1" l="1"/>
  <c r="D240" i="1"/>
  <c r="L239" i="1"/>
  <c r="K239" i="1"/>
  <c r="J239" i="1"/>
  <c r="L236" i="1"/>
  <c r="K236" i="1"/>
  <c r="J236" i="1"/>
  <c r="C235" i="1"/>
  <c r="C238" i="1"/>
  <c r="C240" i="1"/>
  <c r="K213" i="1"/>
  <c r="J213" i="1"/>
  <c r="J207" i="1"/>
  <c r="K205" i="1"/>
  <c r="J205" i="1"/>
  <c r="K175" i="1"/>
  <c r="J175" i="1"/>
  <c r="K166" i="1"/>
  <c r="K79" i="1"/>
  <c r="J79" i="1"/>
  <c r="K77" i="1"/>
  <c r="J77" i="1"/>
  <c r="J65" i="1" l="1"/>
  <c r="K237" i="1"/>
  <c r="L237" i="1"/>
  <c r="J237" i="1"/>
  <c r="K240" i="1"/>
  <c r="K238" i="1"/>
  <c r="L238" i="1"/>
  <c r="J238" i="1"/>
  <c r="K235" i="1"/>
  <c r="L235" i="1"/>
  <c r="J235" i="1"/>
  <c r="J78" i="1"/>
  <c r="J240" i="1"/>
  <c r="L240" i="1"/>
  <c r="J86" i="1" l="1"/>
  <c r="K86" i="1"/>
  <c r="L86" i="1"/>
  <c r="J93" i="1" l="1"/>
  <c r="J66" i="1"/>
  <c r="K66" i="1"/>
  <c r="K67" i="1"/>
  <c r="J68" i="1"/>
  <c r="K68" i="1"/>
  <c r="J74" i="1"/>
  <c r="J75" i="1"/>
  <c r="K75" i="1"/>
  <c r="J82" i="1"/>
  <c r="K82" i="1"/>
  <c r="L82" i="1"/>
  <c r="J89" i="1"/>
  <c r="K89" i="1"/>
  <c r="J91" i="1"/>
  <c r="K91" i="1"/>
  <c r="K93" i="1"/>
  <c r="J95" i="1"/>
  <c r="K95" i="1"/>
  <c r="J107" i="1"/>
  <c r="J116" i="1"/>
  <c r="K116" i="1"/>
  <c r="J158" i="1"/>
  <c r="J160" i="1"/>
  <c r="J118" i="1"/>
  <c r="K118" i="1"/>
  <c r="J120" i="1"/>
  <c r="J136" i="1"/>
  <c r="J140" i="1"/>
  <c r="J141" i="1"/>
  <c r="J142" i="1"/>
  <c r="J154" i="1"/>
  <c r="K154" i="1"/>
  <c r="K163" i="1"/>
  <c r="J172" i="1"/>
  <c r="K172" i="1"/>
  <c r="L172" i="1"/>
  <c r="J185" i="1"/>
  <c r="K185" i="1"/>
  <c r="J187" i="1"/>
  <c r="K187" i="1"/>
  <c r="K193" i="1"/>
  <c r="J181" i="1"/>
  <c r="K181" i="1"/>
  <c r="J190" i="1"/>
  <c r="K190" i="1"/>
  <c r="L190" i="1"/>
  <c r="J197" i="1"/>
  <c r="K197" i="1"/>
  <c r="J198" i="1"/>
  <c r="J200" i="1"/>
  <c r="K200" i="1"/>
  <c r="K201" i="1"/>
  <c r="J210" i="1"/>
  <c r="K210" i="1"/>
  <c r="L210" i="1"/>
  <c r="J220" i="1"/>
  <c r="K220" i="1"/>
  <c r="J84" i="1"/>
  <c r="K84" i="1"/>
  <c r="J112" i="1"/>
  <c r="K112" i="1"/>
  <c r="K70" i="1"/>
  <c r="D219" i="1"/>
  <c r="D223" i="1" s="1"/>
  <c r="I219" i="1"/>
  <c r="C219" i="1"/>
  <c r="K179" i="1" l="1"/>
  <c r="J180" i="1"/>
  <c r="K162" i="1"/>
  <c r="J162" i="1"/>
  <c r="K180" i="1"/>
  <c r="J219" i="1"/>
  <c r="J199" i="1"/>
  <c r="J196" i="1"/>
  <c r="J117" i="1"/>
  <c r="J80" i="1"/>
  <c r="K219" i="1"/>
  <c r="K199" i="1"/>
  <c r="K196" i="1"/>
  <c r="K161" i="1"/>
  <c r="K80" i="1"/>
  <c r="J179" i="1" l="1"/>
  <c r="K229" i="1" l="1"/>
  <c r="K230" i="1"/>
  <c r="J229" i="1"/>
  <c r="J230" i="1"/>
  <c r="J233" i="1" l="1"/>
  <c r="K233" i="1"/>
  <c r="C231" i="1"/>
  <c r="C227" i="1" s="1"/>
  <c r="D231" i="1" l="1"/>
  <c r="D227" i="1" s="1"/>
  <c r="D225" i="1"/>
  <c r="J232" i="1" l="1"/>
  <c r="K231" i="1" l="1"/>
  <c r="J231" i="1"/>
  <c r="J110" i="1" l="1"/>
  <c r="K110" i="1"/>
  <c r="I223" i="1" l="1"/>
  <c r="I87" i="1"/>
  <c r="K87" i="1"/>
  <c r="J87" i="1"/>
  <c r="J223" i="1" s="1"/>
  <c r="H109" i="1" l="1"/>
  <c r="H139" i="1"/>
  <c r="H122" i="1"/>
  <c r="H159" i="1"/>
  <c r="H235" i="1"/>
  <c r="H240" i="1"/>
  <c r="K223" i="1"/>
  <c r="H236" i="1"/>
  <c r="H212" i="1"/>
  <c r="H210" i="1"/>
  <c r="L233" i="1"/>
  <c r="H112" i="1"/>
  <c r="H141" i="1"/>
  <c r="H185" i="1"/>
  <c r="H181" i="1"/>
  <c r="H197" i="1"/>
  <c r="H237" i="1"/>
  <c r="H192" i="1"/>
  <c r="H190" i="1"/>
  <c r="H238" i="1"/>
  <c r="H156" i="1"/>
  <c r="H239" i="1"/>
  <c r="H130" i="1"/>
  <c r="H147" i="1"/>
  <c r="H150" i="1"/>
  <c r="H149" i="1"/>
  <c r="H98" i="1"/>
  <c r="H102" i="1"/>
  <c r="H106" i="1"/>
  <c r="H99" i="1"/>
  <c r="H105" i="1"/>
  <c r="H131" i="1"/>
  <c r="H188" i="1"/>
  <c r="H189" i="1"/>
  <c r="H206" i="1"/>
  <c r="H209" i="1"/>
  <c r="H171" i="1"/>
  <c r="H170" i="1"/>
  <c r="H221" i="1"/>
  <c r="H135" i="1"/>
  <c r="H77" i="1"/>
  <c r="H205" i="1"/>
  <c r="H125" i="1"/>
  <c r="H174" i="1"/>
  <c r="H168" i="1"/>
  <c r="H222" i="1"/>
  <c r="H155" i="1"/>
  <c r="H133" i="1"/>
  <c r="H124" i="1"/>
  <c r="H138" i="1"/>
  <c r="H92" i="1"/>
  <c r="H78" i="1"/>
  <c r="H175" i="1"/>
  <c r="H86" i="1"/>
  <c r="H166" i="1"/>
  <c r="H66" i="1"/>
  <c r="H68" i="1"/>
  <c r="H75" i="1"/>
  <c r="H89" i="1"/>
  <c r="H93" i="1"/>
  <c r="H107" i="1"/>
  <c r="H158" i="1"/>
  <c r="H118" i="1"/>
  <c r="H136" i="1"/>
  <c r="H142" i="1"/>
  <c r="H162" i="1"/>
  <c r="H172" i="1"/>
  <c r="H187" i="1"/>
  <c r="H180" i="1"/>
  <c r="H84" i="1"/>
  <c r="H199" i="1"/>
  <c r="H117" i="1"/>
  <c r="H110" i="1"/>
  <c r="H72" i="1"/>
  <c r="H73" i="1"/>
  <c r="H121" i="1"/>
  <c r="H114" i="1"/>
  <c r="H113" i="1"/>
  <c r="H123" i="1"/>
  <c r="H79" i="1"/>
  <c r="H207" i="1"/>
  <c r="H213" i="1"/>
  <c r="H164" i="1"/>
  <c r="H132" i="1"/>
  <c r="H202" i="1"/>
  <c r="H183" i="1"/>
  <c r="H101" i="1"/>
  <c r="H223" i="1"/>
  <c r="H148" i="1"/>
  <c r="H96" i="1"/>
  <c r="H104" i="1"/>
  <c r="H97" i="1"/>
  <c r="H182" i="1"/>
  <c r="H208" i="1"/>
  <c r="H169" i="1"/>
  <c r="H198" i="1"/>
  <c r="H220" i="1"/>
  <c r="H219" i="1"/>
  <c r="H196" i="1"/>
  <c r="H70" i="1"/>
  <c r="H179" i="1"/>
  <c r="H80" i="1"/>
  <c r="H65" i="1"/>
  <c r="H67" i="1"/>
  <c r="H74" i="1"/>
  <c r="H82" i="1"/>
  <c r="H91" i="1"/>
  <c r="H95" i="1"/>
  <c r="H116" i="1"/>
  <c r="H160" i="1"/>
  <c r="H120" i="1"/>
  <c r="H140" i="1"/>
  <c r="H154" i="1"/>
  <c r="H163" i="1"/>
  <c r="H193" i="1"/>
  <c r="H200" i="1"/>
  <c r="H87" i="1"/>
  <c r="C223" i="1" l="1"/>
  <c r="C225" i="1" s="1"/>
</calcChain>
</file>

<file path=xl/sharedStrings.xml><?xml version="1.0" encoding="utf-8"?>
<sst xmlns="http://schemas.openxmlformats.org/spreadsheetml/2006/main" count="382" uniqueCount="308">
  <si>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</si>
  <si>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</si>
  <si>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</si>
  <si>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</si>
  <si>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</si>
  <si>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</si>
  <si>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</si>
  <si>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</si>
  <si>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</si>
  <si>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</si>
  <si>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</si>
  <si>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</si>
  <si>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</si>
  <si>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</si>
  <si>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</si>
  <si>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</si>
  <si>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</si>
  <si>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</si>
  <si>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</si>
  <si>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</si>
  <si>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</si>
  <si>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</si>
  <si>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</si>
  <si>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</si>
  <si>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</si>
  <si>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</si>
  <si>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</si>
  <si>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</si>
  <si>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</si>
  <si>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</si>
  <si>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</si>
  <si>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</si>
  <si>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</si>
  <si>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</si>
  <si>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</si>
  <si>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</si>
  <si>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</si>
  <si>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</si>
  <si>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</si>
  <si>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</si>
  <si>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</si>
  <si>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</si>
  <si>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</si>
  <si>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</si>
  <si>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</si>
  <si>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</si>
  <si>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</si>
  <si>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</si>
  <si>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</si>
  <si>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</si>
  <si>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</si>
  <si>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</si>
  <si>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</si>
  <si>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</si>
  <si>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</si>
  <si>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</si>
  <si>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</si>
  <si>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</si>
  <si>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</si>
  <si>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</si>
  <si>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</si>
  <si>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</si>
  <si>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</si>
  <si>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</si>
  <si>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</si>
  <si>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</si>
  <si>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</si>
  <si>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</si>
  <si>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</si>
  <si>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</si>
  <si>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</si>
  <si>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</si>
  <si>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</si>
  <si>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</si>
  <si>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</si>
  <si>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</si>
  <si>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</si>
  <si>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</si>
  <si>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</si>
  <si>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</si>
  <si>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</si>
  <si>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</si>
  <si>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</si>
  <si>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</si>
  <si>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</si>
  <si>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</si>
  <si>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</si>
  <si>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</si>
  <si>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</si>
  <si>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</si>
  <si>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</si>
  <si>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</si>
  <si>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</si>
  <si>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</si>
  <si>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</si>
  <si>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</si>
  <si>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</si>
  <si>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</si>
  <si>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</si>
  <si>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</si>
  <si>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</si>
  <si>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</si>
  <si>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</si>
  <si>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</si>
  <si>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</si>
  <si>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</si>
  <si>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</si>
  <si>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</si>
  <si>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</si>
  <si>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</si>
  <si>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</si>
  <si>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</si>
  <si>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</si>
  <si>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</si>
  <si>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</si>
  <si>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</si>
  <si>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</si>
  <si>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</si>
  <si>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</si>
  <si>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</si>
  <si>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</si>
  <si>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</si>
  <si>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</si>
  <si>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</si>
  <si>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</si>
  <si>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</si>
  <si>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</si>
  <si>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</si>
  <si>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</si>
  <si>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</si>
  <si>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</si>
  <si>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</si>
  <si>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</si>
  <si>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</si>
  <si>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</si>
  <si>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</si>
  <si>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</si>
  <si>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</si>
  <si>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</si>
  <si>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</si>
  <si>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</si>
  <si>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</si>
  <si>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</si>
  <si>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</si>
  <si>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</si>
  <si>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</si>
  <si>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</si>
  <si>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</si>
  <si>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</si>
  <si>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</si>
  <si>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</si>
  <si>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</si>
  <si>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</si>
  <si>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</si>
  <si>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</si>
  <si>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</si>
  <si>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</si>
  <si>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</si>
  <si>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</si>
  <si>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</si>
  <si>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</si>
  <si>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</si>
  <si>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</si>
  <si>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</si>
  <si>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</si>
  <si>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</si>
  <si>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</si>
  <si>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</si>
  <si>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</si>
  <si>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</si>
  <si>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</si>
  <si>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</si>
  <si>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</si>
  <si>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</si>
  <si>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</si>
  <si>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</si>
  <si>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</si>
  <si>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</si>
  <si>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</si>
  <si>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Погашение кредиторской задолженности за 2014 год (ВЦП "Дорожная деятельность...")</t>
  </si>
  <si>
    <t>000 1 11 09045 13 0000 120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</si>
  <si>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</si>
  <si>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</si>
  <si>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</si>
  <si>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</si>
  <si>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</si>
  <si>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</si>
  <si>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</si>
  <si>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</si>
  <si>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-субсидии бюджетным учреждениям на иные цели.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</si>
  <si>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</si>
  <si>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</si>
  <si>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</si>
  <si>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</si>
  <si>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</si>
  <si>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</si>
  <si>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</si>
  <si>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</si>
  <si>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</si>
  <si>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</si>
  <si>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</si>
  <si>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</si>
  <si>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</si>
  <si>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</si>
  <si>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</si>
  <si>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</si>
  <si>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</si>
  <si>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</si>
  <si>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Уд. вес
в 2019 г.</t>
  </si>
  <si>
    <t>000 2 02 04000 00 0000 150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</si>
  <si>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</si>
  <si>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</si>
  <si>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</si>
  <si>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</si>
  <si>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</si>
  <si>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</si>
  <si>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</si>
  <si>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</si>
  <si>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</si>
  <si>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</si>
  <si>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</si>
  <si>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</si>
  <si>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</si>
  <si>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</si>
  <si>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</si>
  <si>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</si>
  <si>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</si>
  <si>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</si>
  <si>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</si>
  <si>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1004</t>
  </si>
  <si>
    <t>Охрана семьи и детства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</si>
  <si>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</si>
  <si>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</si>
  <si>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</si>
  <si>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</si>
  <si>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71009Z0000;710F150210,   46000000</t>
  </si>
  <si>
    <t>- содержание, экспертиза и оценка жил.помещений</t>
  </si>
  <si>
    <t>7100300000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</si>
  <si>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</si>
  <si>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</si>
  <si>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119 2 02 29999 13 0071 150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</si>
  <si>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</si>
  <si>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</si>
  <si>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119 2 18 05010 13 0000 180</t>
  </si>
  <si>
    <t>Доходы бюджетов городских поселений от возврата бюджетными учреждениями остатков субсидий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</si>
  <si>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</si>
  <si>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</si>
  <si>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</si>
  <si>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Процент исполнения плана 9 месяцев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</si>
  <si>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</si>
  <si>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</si>
  <si>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</si>
  <si>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</si>
  <si>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</si>
  <si>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</si>
  <si>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</si>
  <si>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73001Z0000            73001Z0000</t>
  </si>
  <si>
    <t>8300000000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</si>
  <si>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</si>
  <si>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Выполнение работ по рекультивации земель городского поселения</t>
  </si>
  <si>
    <t>7100700000</t>
  </si>
  <si>
    <t>Анализ исполнения  бюджета муниципального образования город Энгельс за  за 2019 год</t>
  </si>
  <si>
    <t>Уточненный  годовой план 2019 года</t>
  </si>
  <si>
    <t>Фактическое
исполнение
на 31.12.2019 г.</t>
  </si>
  <si>
    <t>Фактическое
исполнение
на 31.12.2018 г.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</si>
  <si>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</si>
  <si>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</si>
  <si>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</si>
  <si>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</si>
  <si>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</si>
  <si>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>- прочие расходы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</si>
  <si>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</si>
  <si>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</si>
  <si>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</si>
  <si>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</si>
  <si>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>001,002</t>
  </si>
  <si>
    <t>011</t>
  </si>
  <si>
    <t>003</t>
  </si>
  <si>
    <t>007,008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</si>
  <si>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</si>
  <si>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</si>
  <si>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</si>
  <si>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</si>
  <si>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</si>
  <si>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</si>
  <si>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</si>
  <si>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</si>
  <si>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>119 2 02 45390 13 0000 150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</si>
  <si>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</si>
  <si>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</si>
  <si>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</si>
  <si>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Первоначальный  годовой план 2019 года</t>
  </si>
  <si>
    <t>Сравнение исполнения на 31.12.2018 и 2019 гг.       (гр.6-гр.5)</t>
  </si>
  <si>
    <t>- прочие расходы , из них:</t>
  </si>
  <si>
    <t>Укрепление и развитие материально-технической базы в рамках МП «Молодёжь муниципального образования город Энгельс Энгельсского муниципального района Саратовской области» (строительство универсальной спортивной площадки)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</si>
  <si>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</si>
  <si>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-Расходы на прочие закупки товаров, работ и услуг</t>
  </si>
  <si>
    <t>414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</si>
  <si>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</si>
  <si>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</si>
  <si>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</si>
  <si>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</si>
  <si>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</si>
  <si>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(МБУ "Энгельсская молодежь"</t>
  </si>
  <si>
    <t>- заработная плата с начислениями на оплату труда (оплата труда несовешеннолетним)</t>
  </si>
  <si>
    <t>- прочие расходы, из низ:</t>
  </si>
  <si>
    <t>Проведение мероприятий для детей и молодежи</t>
  </si>
  <si>
    <t>Обеспечение первичных мер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</si>
</sst>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2" fillId="4" borderId="1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3" fillId="0" borderId="4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8" fillId="6" borderId="0" xfId="0" applyNumberFormat="1" applyFont="1" applyFill="1" applyBorder="1" applyAlignment="1">
      <alignment horizontal="justify" vertical="center" wrapText="1"/>
    </xf>
    <xf numFmtId="49" fontId="3" fillId="6" borderId="0" xfId="0" applyNumberFormat="1" applyFont="1" applyFill="1" applyBorder="1" applyAlignment="1">
      <alignment horizontal="justify" vertical="center" wrapText="1"/>
    </xf>
    <xf numFmtId="167" fontId="3" fillId="6" borderId="0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8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left" vertical="top" wrapText="1"/>
      <protection locked="0"/>
    </xf>
    <xf numFmtId="167" fontId="9" fillId="0" borderId="0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Continuous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Continuous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8" fontId="23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vertical="center"/>
    </xf>
    <xf numFmtId="165" fontId="8" fillId="8" borderId="2" xfId="3" applyNumberFormat="1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justify" vertical="center"/>
    </xf>
    <xf numFmtId="165" fontId="23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right" vertical="center" wrapText="1"/>
    </xf>
    <xf numFmtId="0" fontId="24" fillId="6" borderId="1" xfId="0" applyNumberFormat="1" applyFont="1" applyFill="1" applyBorder="1" applyAlignment="1">
      <alignment horizontal="right" vertical="center" wrapText="1"/>
    </xf>
    <xf numFmtId="49" fontId="24" fillId="0" borderId="1" xfId="0" applyNumberFormat="1" applyFont="1" applyFill="1" applyBorder="1" applyAlignment="1">
      <alignment horizontal="right" vertical="center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8" borderId="2" xfId="0" applyNumberFormat="1" applyFont="1" applyFill="1" applyBorder="1" applyAlignment="1">
      <alignment horizontal="right" vertical="center"/>
    </xf>
    <xf numFmtId="167" fontId="9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DE9D9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93"/>
  <sheetViews>
    <sheetView tabSelected="1" showRuler="0" view="pageBreakPreview" zoomScale="110" zoomScaleNormal="100" zoomScaleSheetLayoutView="110" workbookViewId="0">
      <pane ySplit="5" topLeftCell="A6" activePane="bottomLeft" state="frozenSplit"/>
      <selection pane="bottomLeft" activeCell="B248" sqref="B248"/>
    </sheetView>
  </sheetViews>
  <sheetFormatPr defaultColWidth="9.140625" defaultRowHeight="13.5" x14ac:dyDescent="0.2"/>
  <cols>
    <col min="1" max="1" width="18.7109375" style="26" customWidth="1"/>
    <col min="2" max="2" width="39.7109375" style="55" customWidth="1"/>
    <col min="3" max="3" width="12.140625" style="55" customWidth="1"/>
    <col min="4" max="4" width="11.85546875" style="56" customWidth="1"/>
    <col min="5" max="5" width="11.85546875" style="56" hidden="1" customWidth="1"/>
    <col min="6" max="7" width="12.42578125" style="57" customWidth="1"/>
    <col min="8" max="8" width="9.28515625" style="142" customWidth="1"/>
    <col min="9" max="9" width="9.28515625" style="142" hidden="1" customWidth="1"/>
    <col min="10" max="10" width="9.5703125" style="57" customWidth="1"/>
    <col min="11" max="11" width="9.85546875" style="57" customWidth="1"/>
    <col min="12" max="12" width="10.7109375" style="57" customWidth="1"/>
    <col min="13" max="16384" width="9.140625" style="2"/>
  </cols>
  <sheetData>
    <row r="1" spans="1:13" x14ac:dyDescent="0.2">
      <c r="H1" s="260"/>
      <c r="I1" s="260"/>
      <c r="J1" s="260"/>
      <c r="K1" s="260"/>
      <c r="L1" s="260"/>
    </row>
    <row r="2" spans="1:13" ht="16.5" x14ac:dyDescent="0.2">
      <c r="A2" s="263" t="s">
        <v>261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58"/>
    </row>
    <row r="3" spans="1:13" x14ac:dyDescent="0.2">
      <c r="A3" s="59"/>
      <c r="B3" s="60"/>
      <c r="C3" s="60"/>
      <c r="D3" s="61"/>
      <c r="E3" s="196"/>
      <c r="F3" s="249"/>
      <c r="G3" s="11"/>
      <c r="H3" s="159"/>
      <c r="I3" s="159"/>
      <c r="L3" s="26" t="s">
        <v>116</v>
      </c>
    </row>
    <row r="4" spans="1:13" s="10" customFormat="1" ht="63.75" x14ac:dyDescent="0.2">
      <c r="A4" s="128" t="s">
        <v>18</v>
      </c>
      <c r="B4" s="129" t="s">
        <v>20</v>
      </c>
      <c r="C4" s="189" t="s">
        <v>291</v>
      </c>
      <c r="D4" s="189" t="s">
        <v>262</v>
      </c>
      <c r="E4" s="189" t="s">
        <v>249</v>
      </c>
      <c r="F4" s="189" t="s">
        <v>264</v>
      </c>
      <c r="G4" s="189" t="s">
        <v>263</v>
      </c>
      <c r="H4" s="158" t="s">
        <v>208</v>
      </c>
      <c r="I4" s="215" t="s">
        <v>248</v>
      </c>
      <c r="J4" s="216" t="s">
        <v>19</v>
      </c>
      <c r="K4" s="215" t="s">
        <v>11</v>
      </c>
      <c r="L4" s="250" t="s">
        <v>292</v>
      </c>
    </row>
    <row r="5" spans="1:13" s="35" customFormat="1" ht="11.25" x14ac:dyDescent="0.2">
      <c r="A5" s="208">
        <v>1</v>
      </c>
      <c r="B5" s="212" t="s">
        <v>66</v>
      </c>
      <c r="C5" s="207">
        <v>3</v>
      </c>
      <c r="D5" s="207">
        <v>4</v>
      </c>
      <c r="E5" s="207">
        <v>5</v>
      </c>
      <c r="F5" s="208">
        <v>5</v>
      </c>
      <c r="G5" s="208">
        <v>6</v>
      </c>
      <c r="H5" s="208">
        <v>7</v>
      </c>
      <c r="I5" s="208">
        <v>9</v>
      </c>
      <c r="J5" s="213">
        <v>8</v>
      </c>
      <c r="K5" s="208">
        <v>9</v>
      </c>
      <c r="L5" s="214">
        <v>10</v>
      </c>
    </row>
    <row r="6" spans="1:13" s="12" customFormat="1" ht="16.5" x14ac:dyDescent="0.2">
      <c r="A6" s="38" t="s">
        <v>28</v>
      </c>
      <c r="B6" s="111" t="s">
        <v>151</v>
      </c>
      <c r="C6" s="106">
        <f>C7+C22</f>
        <v>656726.30000000005</v>
      </c>
      <c r="D6" s="106">
        <f t="shared" ref="D6:G6" si="0">D7+D22</f>
        <v>714612.1</v>
      </c>
      <c r="E6" s="106">
        <f t="shared" si="0"/>
        <v>498679.3</v>
      </c>
      <c r="F6" s="106">
        <f t="shared" ref="F6" si="1">F7+F22</f>
        <v>686313.1</v>
      </c>
      <c r="G6" s="106">
        <f t="shared" si="0"/>
        <v>707974.4</v>
      </c>
      <c r="H6" s="181">
        <f t="shared" ref="H6:H40" si="2">G6/Всего_доходов_2003</f>
        <v>0.498</v>
      </c>
      <c r="I6" s="170">
        <f t="shared" ref="I6:I32" si="3">G6/E6</f>
        <v>1.42</v>
      </c>
      <c r="J6" s="171">
        <f t="shared" ref="J6:J45" si="4">G6-D6</f>
        <v>-6637.7</v>
      </c>
      <c r="K6" s="170">
        <f t="shared" ref="K6:K65" si="5">G6/D6</f>
        <v>0.99099999999999999</v>
      </c>
      <c r="L6" s="217">
        <f>G6-F6</f>
        <v>21661.3</v>
      </c>
      <c r="M6" s="19"/>
    </row>
    <row r="7" spans="1:13" s="12" customFormat="1" x14ac:dyDescent="0.2">
      <c r="A7" s="38"/>
      <c r="B7" s="39" t="s">
        <v>12</v>
      </c>
      <c r="C7" s="106">
        <f>C9+C11+C13+C16</f>
        <v>574362.69999999995</v>
      </c>
      <c r="D7" s="106">
        <f t="shared" ref="D7:G7" si="6">D9+D11+D13+D16</f>
        <v>532844.5</v>
      </c>
      <c r="E7" s="106">
        <f t="shared" si="6"/>
        <v>343034.4</v>
      </c>
      <c r="F7" s="106">
        <f t="shared" ref="F7" si="7">F9+F11+F13+F16</f>
        <v>609450.4</v>
      </c>
      <c r="G7" s="106">
        <f t="shared" si="6"/>
        <v>524875.5</v>
      </c>
      <c r="H7" s="181">
        <f t="shared" si="2"/>
        <v>0.37</v>
      </c>
      <c r="I7" s="170">
        <f t="shared" si="3"/>
        <v>1.53</v>
      </c>
      <c r="J7" s="171">
        <f t="shared" si="4"/>
        <v>-7969</v>
      </c>
      <c r="K7" s="170">
        <f t="shared" si="5"/>
        <v>0.98499999999999999</v>
      </c>
      <c r="L7" s="217">
        <f t="shared" ref="L7:L62" si="8">G7-F7</f>
        <v>-84574.9</v>
      </c>
      <c r="M7" s="19"/>
    </row>
    <row r="8" spans="1:13" s="12" customFormat="1" x14ac:dyDescent="0.2">
      <c r="A8" s="38" t="s">
        <v>29</v>
      </c>
      <c r="B8" s="39" t="s">
        <v>30</v>
      </c>
      <c r="C8" s="106">
        <f>SUM(C9)</f>
        <v>297874.90000000002</v>
      </c>
      <c r="D8" s="106">
        <f t="shared" ref="D8:G8" si="9">SUM(D9)</f>
        <v>298412.3</v>
      </c>
      <c r="E8" s="106">
        <f t="shared" si="9"/>
        <v>201497</v>
      </c>
      <c r="F8" s="106">
        <f t="shared" si="9"/>
        <v>288372</v>
      </c>
      <c r="G8" s="106">
        <f t="shared" si="9"/>
        <v>293719.5</v>
      </c>
      <c r="H8" s="181">
        <f t="shared" si="2"/>
        <v>0.20699999999999999</v>
      </c>
      <c r="I8" s="170">
        <f t="shared" si="3"/>
        <v>1.458</v>
      </c>
      <c r="J8" s="171">
        <f t="shared" si="4"/>
        <v>-4692.8</v>
      </c>
      <c r="K8" s="170">
        <f t="shared" si="5"/>
        <v>0.98399999999999999</v>
      </c>
      <c r="L8" s="217">
        <f t="shared" si="8"/>
        <v>5347.5</v>
      </c>
      <c r="M8" s="19"/>
    </row>
    <row r="9" spans="1:13" s="12" customFormat="1" x14ac:dyDescent="0.2">
      <c r="A9" s="38" t="s">
        <v>31</v>
      </c>
      <c r="B9" s="87" t="s">
        <v>13</v>
      </c>
      <c r="C9" s="106">
        <f>C10</f>
        <v>297874.90000000002</v>
      </c>
      <c r="D9" s="106">
        <f t="shared" ref="D9:G9" si="10">D10</f>
        <v>298412.3</v>
      </c>
      <c r="E9" s="106">
        <f t="shared" si="10"/>
        <v>201497</v>
      </c>
      <c r="F9" s="106">
        <f t="shared" si="10"/>
        <v>288372</v>
      </c>
      <c r="G9" s="106">
        <f t="shared" si="10"/>
        <v>293719.5</v>
      </c>
      <c r="H9" s="181">
        <f t="shared" si="2"/>
        <v>0.20699999999999999</v>
      </c>
      <c r="I9" s="170">
        <f t="shared" si="3"/>
        <v>1.458</v>
      </c>
      <c r="J9" s="171">
        <f t="shared" si="4"/>
        <v>-4692.8</v>
      </c>
      <c r="K9" s="170">
        <f t="shared" si="5"/>
        <v>0.98399999999999999</v>
      </c>
      <c r="L9" s="217">
        <f t="shared" si="8"/>
        <v>5347.5</v>
      </c>
      <c r="M9" s="19"/>
    </row>
    <row r="10" spans="1:13" s="12" customFormat="1" ht="72.75" customHeight="1" x14ac:dyDescent="0.2">
      <c r="A10" s="40" t="s">
        <v>117</v>
      </c>
      <c r="B10" s="42" t="s">
        <v>128</v>
      </c>
      <c r="C10" s="125">
        <v>297874.90000000002</v>
      </c>
      <c r="D10" s="97">
        <v>298412.3</v>
      </c>
      <c r="E10" s="97">
        <v>201497</v>
      </c>
      <c r="F10" s="125">
        <v>288372</v>
      </c>
      <c r="G10" s="125">
        <v>293719.5</v>
      </c>
      <c r="H10" s="175">
        <f t="shared" si="2"/>
        <v>0.20699999999999999</v>
      </c>
      <c r="I10" s="170">
        <f t="shared" si="3"/>
        <v>1.458</v>
      </c>
      <c r="J10" s="218">
        <f t="shared" si="4"/>
        <v>-4692.8</v>
      </c>
      <c r="K10" s="170">
        <f t="shared" si="5"/>
        <v>0.98399999999999999</v>
      </c>
      <c r="L10" s="217">
        <f t="shared" si="8"/>
        <v>5347.5</v>
      </c>
      <c r="M10" s="19"/>
    </row>
    <row r="11" spans="1:13" s="12" customFormat="1" ht="27" x14ac:dyDescent="0.2">
      <c r="A11" s="38" t="s">
        <v>148</v>
      </c>
      <c r="B11" s="45" t="s">
        <v>153</v>
      </c>
      <c r="C11" s="106">
        <f>C12</f>
        <v>21166.1</v>
      </c>
      <c r="D11" s="106">
        <f t="shared" ref="D11:G11" si="11">D12</f>
        <v>21166.1</v>
      </c>
      <c r="E11" s="106">
        <f t="shared" si="11"/>
        <v>16694.7</v>
      </c>
      <c r="F11" s="106">
        <f t="shared" si="11"/>
        <v>19936.599999999999</v>
      </c>
      <c r="G11" s="106">
        <f t="shared" si="11"/>
        <v>22455.9</v>
      </c>
      <c r="H11" s="182">
        <f t="shared" si="2"/>
        <v>1.6E-2</v>
      </c>
      <c r="I11" s="170">
        <f t="shared" si="3"/>
        <v>1.345</v>
      </c>
      <c r="J11" s="218">
        <f t="shared" si="4"/>
        <v>1289.8</v>
      </c>
      <c r="K11" s="170">
        <f t="shared" si="5"/>
        <v>1.0609999999999999</v>
      </c>
      <c r="L11" s="217">
        <f t="shared" si="8"/>
        <v>2519.3000000000002</v>
      </c>
      <c r="M11" s="19"/>
    </row>
    <row r="12" spans="1:13" s="12" customFormat="1" ht="27" x14ac:dyDescent="0.2">
      <c r="A12" s="40" t="s">
        <v>172</v>
      </c>
      <c r="B12" s="122" t="s">
        <v>154</v>
      </c>
      <c r="C12" s="125">
        <v>21166.1</v>
      </c>
      <c r="D12" s="97">
        <v>21166.1</v>
      </c>
      <c r="E12" s="97">
        <v>16694.7</v>
      </c>
      <c r="F12" s="97">
        <v>19936.599999999999</v>
      </c>
      <c r="G12" s="97">
        <v>22455.9</v>
      </c>
      <c r="H12" s="175">
        <f t="shared" si="2"/>
        <v>1.6E-2</v>
      </c>
      <c r="I12" s="170">
        <f t="shared" si="3"/>
        <v>1.345</v>
      </c>
      <c r="J12" s="218">
        <f t="shared" si="4"/>
        <v>1289.8</v>
      </c>
      <c r="K12" s="170">
        <f t="shared" si="5"/>
        <v>1.0609999999999999</v>
      </c>
      <c r="L12" s="217">
        <f t="shared" si="8"/>
        <v>2519.3000000000002</v>
      </c>
      <c r="M12" s="19"/>
    </row>
    <row r="13" spans="1:13" s="18" customFormat="1" x14ac:dyDescent="0.2">
      <c r="A13" s="38" t="s">
        <v>86</v>
      </c>
      <c r="B13" s="45" t="s">
        <v>14</v>
      </c>
      <c r="C13" s="106">
        <f>SUM(C14)</f>
        <v>4752</v>
      </c>
      <c r="D13" s="106">
        <f t="shared" ref="D13:G13" si="12">SUM(D14)</f>
        <v>7096.4</v>
      </c>
      <c r="E13" s="106">
        <f t="shared" si="12"/>
        <v>5052</v>
      </c>
      <c r="F13" s="106">
        <f t="shared" si="12"/>
        <v>3913.1</v>
      </c>
      <c r="G13" s="106">
        <f t="shared" si="12"/>
        <v>7097.4</v>
      </c>
      <c r="H13" s="181">
        <f t="shared" si="2"/>
        <v>5.0000000000000001E-3</v>
      </c>
      <c r="I13" s="170">
        <f t="shared" si="3"/>
        <v>1.405</v>
      </c>
      <c r="J13" s="171">
        <f t="shared" si="4"/>
        <v>1</v>
      </c>
      <c r="K13" s="170">
        <f t="shared" si="5"/>
        <v>1</v>
      </c>
      <c r="L13" s="217">
        <f t="shared" si="8"/>
        <v>3184.3</v>
      </c>
      <c r="M13" s="20"/>
    </row>
    <row r="14" spans="1:13" s="18" customFormat="1" x14ac:dyDescent="0.2">
      <c r="A14" s="38" t="s">
        <v>32</v>
      </c>
      <c r="B14" s="39" t="s">
        <v>0</v>
      </c>
      <c r="C14" s="106">
        <f>C15</f>
        <v>4752</v>
      </c>
      <c r="D14" s="106">
        <f t="shared" ref="D14:G14" si="13">D15</f>
        <v>7096.4</v>
      </c>
      <c r="E14" s="106">
        <f t="shared" si="13"/>
        <v>5052</v>
      </c>
      <c r="F14" s="106">
        <f t="shared" si="13"/>
        <v>3913.1</v>
      </c>
      <c r="G14" s="106">
        <f t="shared" si="13"/>
        <v>7097.4</v>
      </c>
      <c r="H14" s="181">
        <f t="shared" si="2"/>
        <v>5.0000000000000001E-3</v>
      </c>
      <c r="I14" s="170">
        <f t="shared" si="3"/>
        <v>1.405</v>
      </c>
      <c r="J14" s="171">
        <f t="shared" si="4"/>
        <v>1</v>
      </c>
      <c r="K14" s="170">
        <f t="shared" si="5"/>
        <v>1</v>
      </c>
      <c r="L14" s="217">
        <f t="shared" si="8"/>
        <v>3184.3</v>
      </c>
      <c r="M14" s="20"/>
    </row>
    <row r="15" spans="1:13" s="18" customFormat="1" x14ac:dyDescent="0.2">
      <c r="A15" s="40" t="s">
        <v>74</v>
      </c>
      <c r="B15" s="42" t="s">
        <v>0</v>
      </c>
      <c r="C15" s="126">
        <v>4752</v>
      </c>
      <c r="D15" s="24">
        <v>7096.4</v>
      </c>
      <c r="E15" s="24">
        <v>5052</v>
      </c>
      <c r="F15" s="24">
        <v>3913.1</v>
      </c>
      <c r="G15" s="24">
        <v>7097.4</v>
      </c>
      <c r="H15" s="175">
        <f t="shared" si="2"/>
        <v>5.0000000000000001E-3</v>
      </c>
      <c r="I15" s="170">
        <f t="shared" si="3"/>
        <v>1.405</v>
      </c>
      <c r="J15" s="218">
        <f t="shared" si="4"/>
        <v>1</v>
      </c>
      <c r="K15" s="170">
        <f t="shared" si="5"/>
        <v>1</v>
      </c>
      <c r="L15" s="217">
        <f t="shared" si="8"/>
        <v>3184.3</v>
      </c>
      <c r="M15" s="20"/>
    </row>
    <row r="16" spans="1:13" s="18" customFormat="1" x14ac:dyDescent="0.2">
      <c r="A16" s="38" t="s">
        <v>87</v>
      </c>
      <c r="B16" s="39" t="s">
        <v>15</v>
      </c>
      <c r="C16" s="106">
        <f>SUM(C17+C19)</f>
        <v>250569.7</v>
      </c>
      <c r="D16" s="106">
        <f t="shared" ref="D16:G16" si="14">SUM(D17+D19)</f>
        <v>206169.7</v>
      </c>
      <c r="E16" s="106">
        <f t="shared" si="14"/>
        <v>119790.7</v>
      </c>
      <c r="F16" s="106">
        <f t="shared" ref="F16" si="15">SUM(F17+F19)</f>
        <v>297228.7</v>
      </c>
      <c r="G16" s="106">
        <f t="shared" si="14"/>
        <v>201602.7</v>
      </c>
      <c r="H16" s="181">
        <f t="shared" si="2"/>
        <v>0.14199999999999999</v>
      </c>
      <c r="I16" s="170">
        <f t="shared" si="3"/>
        <v>1.6830000000000001</v>
      </c>
      <c r="J16" s="171">
        <f t="shared" si="4"/>
        <v>-4567</v>
      </c>
      <c r="K16" s="170">
        <f t="shared" si="5"/>
        <v>0.97799999999999998</v>
      </c>
      <c r="L16" s="217">
        <f t="shared" si="8"/>
        <v>-95626</v>
      </c>
      <c r="M16" s="20"/>
    </row>
    <row r="17" spans="1:13" s="22" customFormat="1" x14ac:dyDescent="0.2">
      <c r="A17" s="38" t="s">
        <v>35</v>
      </c>
      <c r="B17" s="39" t="s">
        <v>34</v>
      </c>
      <c r="C17" s="106">
        <f>C18</f>
        <v>104969.7</v>
      </c>
      <c r="D17" s="106">
        <f t="shared" ref="D17:G17" si="16">D18</f>
        <v>105569.7</v>
      </c>
      <c r="E17" s="106">
        <f t="shared" si="16"/>
        <v>43400</v>
      </c>
      <c r="F17" s="106">
        <f t="shared" si="16"/>
        <v>151323.4</v>
      </c>
      <c r="G17" s="106">
        <f t="shared" si="16"/>
        <v>103091.4</v>
      </c>
      <c r="H17" s="181">
        <f t="shared" si="2"/>
        <v>7.2999999999999995E-2</v>
      </c>
      <c r="I17" s="170">
        <f t="shared" si="3"/>
        <v>2.375</v>
      </c>
      <c r="J17" s="171">
        <f t="shared" si="4"/>
        <v>-2478.3000000000002</v>
      </c>
      <c r="K17" s="170">
        <f t="shared" si="5"/>
        <v>0.97699999999999998</v>
      </c>
      <c r="L17" s="217">
        <f t="shared" si="8"/>
        <v>-48232</v>
      </c>
      <c r="M17" s="21"/>
    </row>
    <row r="18" spans="1:13" s="18" customFormat="1" ht="40.5" x14ac:dyDescent="0.2">
      <c r="A18" s="40" t="s">
        <v>173</v>
      </c>
      <c r="B18" s="42" t="s">
        <v>36</v>
      </c>
      <c r="C18" s="203">
        <v>104969.7</v>
      </c>
      <c r="D18" s="54">
        <v>105569.7</v>
      </c>
      <c r="E18" s="54">
        <v>43400</v>
      </c>
      <c r="F18" s="54">
        <v>151323.4</v>
      </c>
      <c r="G18" s="54">
        <v>103091.4</v>
      </c>
      <c r="H18" s="175">
        <f t="shared" si="2"/>
        <v>7.2999999999999995E-2</v>
      </c>
      <c r="I18" s="170">
        <f t="shared" si="3"/>
        <v>2.375</v>
      </c>
      <c r="J18" s="218">
        <f t="shared" si="4"/>
        <v>-2478.3000000000002</v>
      </c>
      <c r="K18" s="170">
        <f t="shared" si="5"/>
        <v>0.97699999999999998</v>
      </c>
      <c r="L18" s="217">
        <f t="shared" si="8"/>
        <v>-48232</v>
      </c>
      <c r="M18" s="20"/>
    </row>
    <row r="19" spans="1:13" s="22" customFormat="1" x14ac:dyDescent="0.2">
      <c r="A19" s="38" t="s">
        <v>33</v>
      </c>
      <c r="B19" s="39" t="s">
        <v>16</v>
      </c>
      <c r="C19" s="106">
        <f>SUM(C20:C21)</f>
        <v>145600</v>
      </c>
      <c r="D19" s="106">
        <f t="shared" ref="D19:G19" si="17">SUM(D20:D21)</f>
        <v>100600</v>
      </c>
      <c r="E19" s="106">
        <f t="shared" si="17"/>
        <v>76390.7</v>
      </c>
      <c r="F19" s="106">
        <f t="shared" ref="F19" si="18">SUM(F20:F21)</f>
        <v>145905.29999999999</v>
      </c>
      <c r="G19" s="106">
        <f t="shared" si="17"/>
        <v>98511.3</v>
      </c>
      <c r="H19" s="181">
        <f t="shared" si="2"/>
        <v>6.9000000000000006E-2</v>
      </c>
      <c r="I19" s="170">
        <f t="shared" si="3"/>
        <v>1.29</v>
      </c>
      <c r="J19" s="171">
        <f t="shared" si="4"/>
        <v>-2088.6999999999998</v>
      </c>
      <c r="K19" s="170">
        <f t="shared" si="5"/>
        <v>0.97899999999999998</v>
      </c>
      <c r="L19" s="217">
        <f t="shared" si="8"/>
        <v>-47394</v>
      </c>
      <c r="M19" s="21"/>
    </row>
    <row r="20" spans="1:13" s="22" customFormat="1" x14ac:dyDescent="0.2">
      <c r="A20" s="123" t="s">
        <v>174</v>
      </c>
      <c r="B20" s="42" t="s">
        <v>170</v>
      </c>
      <c r="C20" s="203">
        <v>96000</v>
      </c>
      <c r="D20" s="54">
        <v>41500</v>
      </c>
      <c r="E20" s="203">
        <v>54700</v>
      </c>
      <c r="F20" s="54">
        <v>89535.4</v>
      </c>
      <c r="G20" s="203">
        <v>39320.800000000003</v>
      </c>
      <c r="H20" s="175">
        <f t="shared" si="2"/>
        <v>2.8000000000000001E-2</v>
      </c>
      <c r="I20" s="170">
        <f t="shared" si="3"/>
        <v>0.71899999999999997</v>
      </c>
      <c r="J20" s="218">
        <f t="shared" si="4"/>
        <v>-2179.1999999999998</v>
      </c>
      <c r="K20" s="170">
        <f t="shared" si="5"/>
        <v>0.94699999999999995</v>
      </c>
      <c r="L20" s="217">
        <f t="shared" si="8"/>
        <v>-50214.6</v>
      </c>
      <c r="M20" s="21"/>
    </row>
    <row r="21" spans="1:13" s="18" customFormat="1" x14ac:dyDescent="0.2">
      <c r="A21" s="123" t="s">
        <v>175</v>
      </c>
      <c r="B21" s="42" t="s">
        <v>171</v>
      </c>
      <c r="C21" s="203">
        <v>49600</v>
      </c>
      <c r="D21" s="54">
        <v>59100</v>
      </c>
      <c r="E21" s="203">
        <v>21690.7</v>
      </c>
      <c r="F21" s="54">
        <v>56369.9</v>
      </c>
      <c r="G21" s="203">
        <v>59190.5</v>
      </c>
      <c r="H21" s="175">
        <f t="shared" si="2"/>
        <v>4.2000000000000003E-2</v>
      </c>
      <c r="I21" s="170">
        <f t="shared" si="3"/>
        <v>2.7290000000000001</v>
      </c>
      <c r="J21" s="218">
        <f t="shared" si="4"/>
        <v>90.5</v>
      </c>
      <c r="K21" s="170">
        <f t="shared" si="5"/>
        <v>1.002</v>
      </c>
      <c r="L21" s="217">
        <f t="shared" si="8"/>
        <v>2820.6</v>
      </c>
      <c r="M21" s="20"/>
    </row>
    <row r="22" spans="1:13" s="22" customFormat="1" x14ac:dyDescent="0.2">
      <c r="A22" s="38"/>
      <c r="B22" s="39" t="s">
        <v>17</v>
      </c>
      <c r="C22" s="106">
        <f>C23+C29+C30+C31+C39+C35</f>
        <v>82363.600000000006</v>
      </c>
      <c r="D22" s="106">
        <f t="shared" ref="D22:G22" si="19">D23+D29+D30+D31+D39+D35</f>
        <v>181767.6</v>
      </c>
      <c r="E22" s="106">
        <f t="shared" si="19"/>
        <v>155644.9</v>
      </c>
      <c r="F22" s="106">
        <f t="shared" si="19"/>
        <v>76862.7</v>
      </c>
      <c r="G22" s="106">
        <f t="shared" si="19"/>
        <v>183098.9</v>
      </c>
      <c r="H22" s="181">
        <f t="shared" si="2"/>
        <v>0.129</v>
      </c>
      <c r="I22" s="170">
        <f t="shared" si="3"/>
        <v>1.1759999999999999</v>
      </c>
      <c r="J22" s="171">
        <f t="shared" si="4"/>
        <v>1331.3</v>
      </c>
      <c r="K22" s="170">
        <f t="shared" si="5"/>
        <v>1.0069999999999999</v>
      </c>
      <c r="L22" s="217">
        <f t="shared" si="8"/>
        <v>106236.2</v>
      </c>
      <c r="M22" s="21"/>
    </row>
    <row r="23" spans="1:13" s="18" customFormat="1" ht="40.5" x14ac:dyDescent="0.2">
      <c r="A23" s="38" t="s">
        <v>38</v>
      </c>
      <c r="B23" s="39" t="s">
        <v>1</v>
      </c>
      <c r="C23" s="117">
        <f>SUM(C24:C28)</f>
        <v>74672.5</v>
      </c>
      <c r="D23" s="117">
        <f t="shared" ref="D23:G23" si="20">SUM(D24:D28)</f>
        <v>168322.5</v>
      </c>
      <c r="E23" s="117">
        <f t="shared" si="20"/>
        <v>149271</v>
      </c>
      <c r="F23" s="117">
        <f t="shared" ref="F23" si="21">SUM(F24:F28)</f>
        <v>60872.6</v>
      </c>
      <c r="G23" s="117">
        <f t="shared" si="20"/>
        <v>169692.7</v>
      </c>
      <c r="H23" s="181">
        <f t="shared" si="2"/>
        <v>0.11899999999999999</v>
      </c>
      <c r="I23" s="170">
        <f t="shared" si="3"/>
        <v>1.137</v>
      </c>
      <c r="J23" s="171">
        <f t="shared" si="4"/>
        <v>1370.2</v>
      </c>
      <c r="K23" s="170">
        <f t="shared" si="5"/>
        <v>1.008</v>
      </c>
      <c r="L23" s="217">
        <f t="shared" si="8"/>
        <v>108820.1</v>
      </c>
      <c r="M23" s="20"/>
    </row>
    <row r="24" spans="1:13" s="18" customFormat="1" ht="81" x14ac:dyDescent="0.2">
      <c r="A24" s="40" t="s">
        <v>245</v>
      </c>
      <c r="B24" s="42" t="s">
        <v>40</v>
      </c>
      <c r="C24" s="203">
        <v>65963</v>
      </c>
      <c r="D24" s="24">
        <v>58963</v>
      </c>
      <c r="E24" s="24">
        <v>41822</v>
      </c>
      <c r="F24" s="54">
        <v>50404.3</v>
      </c>
      <c r="G24" s="54">
        <v>58610.400000000001</v>
      </c>
      <c r="H24" s="175">
        <f t="shared" si="2"/>
        <v>4.1000000000000002E-2</v>
      </c>
      <c r="I24" s="170">
        <f t="shared" si="3"/>
        <v>1.401</v>
      </c>
      <c r="J24" s="218">
        <f t="shared" si="4"/>
        <v>-352.6</v>
      </c>
      <c r="K24" s="170">
        <f t="shared" si="5"/>
        <v>0.99399999999999999</v>
      </c>
      <c r="L24" s="217">
        <f t="shared" si="8"/>
        <v>8206.1</v>
      </c>
      <c r="M24" s="20"/>
    </row>
    <row r="25" spans="1:13" s="18" customFormat="1" ht="94.5" x14ac:dyDescent="0.2">
      <c r="A25" s="40" t="s">
        <v>246</v>
      </c>
      <c r="B25" s="42" t="s">
        <v>247</v>
      </c>
      <c r="C25" s="203">
        <v>0</v>
      </c>
      <c r="D25" s="24">
        <v>100000</v>
      </c>
      <c r="E25" s="24">
        <v>100000</v>
      </c>
      <c r="F25" s="54">
        <v>0</v>
      </c>
      <c r="G25" s="54">
        <v>100000</v>
      </c>
      <c r="H25" s="175">
        <f t="shared" si="2"/>
        <v>7.0000000000000007E-2</v>
      </c>
      <c r="I25" s="170">
        <f t="shared" si="3"/>
        <v>1</v>
      </c>
      <c r="J25" s="218">
        <f t="shared" si="4"/>
        <v>0</v>
      </c>
      <c r="K25" s="170">
        <f t="shared" si="5"/>
        <v>1</v>
      </c>
      <c r="L25" s="217">
        <f t="shared" si="8"/>
        <v>100000</v>
      </c>
      <c r="M25" s="20"/>
    </row>
    <row r="26" spans="1:13" s="18" customFormat="1" ht="27" x14ac:dyDescent="0.2">
      <c r="A26" s="123" t="s">
        <v>156</v>
      </c>
      <c r="B26" s="42" t="s">
        <v>134</v>
      </c>
      <c r="C26" s="203">
        <v>1832</v>
      </c>
      <c r="D26" s="24">
        <v>2482</v>
      </c>
      <c r="E26" s="24">
        <v>1832</v>
      </c>
      <c r="F26" s="54">
        <v>2226.1</v>
      </c>
      <c r="G26" s="54">
        <v>2449.8000000000002</v>
      </c>
      <c r="H26" s="175">
        <f t="shared" si="2"/>
        <v>2E-3</v>
      </c>
      <c r="I26" s="170">
        <f t="shared" si="3"/>
        <v>1.337</v>
      </c>
      <c r="J26" s="218">
        <f t="shared" si="4"/>
        <v>-32.200000000000003</v>
      </c>
      <c r="K26" s="170">
        <f t="shared" si="5"/>
        <v>0.98699999999999999</v>
      </c>
      <c r="L26" s="217">
        <f t="shared" si="8"/>
        <v>223.7</v>
      </c>
      <c r="M26" s="20"/>
    </row>
    <row r="27" spans="1:13" s="18" customFormat="1" ht="54" hidden="1" customHeight="1" x14ac:dyDescent="0.2">
      <c r="A27" s="123" t="s">
        <v>157</v>
      </c>
      <c r="B27" s="42" t="s">
        <v>126</v>
      </c>
      <c r="C27" s="203">
        <v>0</v>
      </c>
      <c r="D27" s="24">
        <v>0</v>
      </c>
      <c r="E27" s="24"/>
      <c r="F27" s="54">
        <v>0</v>
      </c>
      <c r="G27" s="54">
        <v>0</v>
      </c>
      <c r="H27" s="143">
        <f t="shared" si="2"/>
        <v>0</v>
      </c>
      <c r="I27" s="170" t="e">
        <f t="shared" si="3"/>
        <v>#DIV/0!</v>
      </c>
      <c r="J27" s="218">
        <f t="shared" si="4"/>
        <v>0</v>
      </c>
      <c r="K27" s="170" t="e">
        <f t="shared" si="5"/>
        <v>#DIV/0!</v>
      </c>
      <c r="L27" s="217">
        <f t="shared" si="8"/>
        <v>0</v>
      </c>
      <c r="M27" s="20"/>
    </row>
    <row r="28" spans="1:13" s="22" customFormat="1" ht="81" x14ac:dyDescent="0.2">
      <c r="A28" s="124" t="s">
        <v>180</v>
      </c>
      <c r="B28" s="41" t="s">
        <v>75</v>
      </c>
      <c r="C28" s="127">
        <v>6877.5</v>
      </c>
      <c r="D28" s="126">
        <v>6877.5</v>
      </c>
      <c r="E28" s="126">
        <v>5617</v>
      </c>
      <c r="F28" s="33">
        <v>8242.2000000000007</v>
      </c>
      <c r="G28" s="33">
        <v>8632.5</v>
      </c>
      <c r="H28" s="175">
        <f t="shared" si="2"/>
        <v>6.0000000000000001E-3</v>
      </c>
      <c r="I28" s="170">
        <f t="shared" si="3"/>
        <v>1.5369999999999999</v>
      </c>
      <c r="J28" s="218">
        <f t="shared" si="4"/>
        <v>1755</v>
      </c>
      <c r="K28" s="170">
        <f t="shared" si="5"/>
        <v>1.2549999999999999</v>
      </c>
      <c r="L28" s="217">
        <f t="shared" si="8"/>
        <v>390.3</v>
      </c>
      <c r="M28" s="21"/>
    </row>
    <row r="29" spans="1:13" s="22" customFormat="1" ht="18" customHeight="1" x14ac:dyDescent="0.2">
      <c r="A29" s="138" t="s">
        <v>282</v>
      </c>
      <c r="B29" s="47" t="s">
        <v>283</v>
      </c>
      <c r="C29" s="248">
        <v>0</v>
      </c>
      <c r="D29" s="248">
        <v>776.2</v>
      </c>
      <c r="E29" s="248"/>
      <c r="F29" s="248">
        <v>0</v>
      </c>
      <c r="G29" s="248">
        <v>789.8</v>
      </c>
      <c r="H29" s="181">
        <f t="shared" si="2"/>
        <v>1E-3</v>
      </c>
      <c r="I29" s="170"/>
      <c r="J29" s="171">
        <f t="shared" si="4"/>
        <v>13.6</v>
      </c>
      <c r="K29" s="170">
        <f t="shared" si="5"/>
        <v>1.018</v>
      </c>
      <c r="L29" s="217">
        <f t="shared" si="8"/>
        <v>789.8</v>
      </c>
      <c r="M29" s="21"/>
    </row>
    <row r="30" spans="1:13" s="22" customFormat="1" ht="18" customHeight="1" x14ac:dyDescent="0.2">
      <c r="A30" s="138" t="s">
        <v>184</v>
      </c>
      <c r="B30" s="47" t="s">
        <v>190</v>
      </c>
      <c r="C30" s="248">
        <v>0</v>
      </c>
      <c r="D30" s="248">
        <v>2278.5</v>
      </c>
      <c r="E30" s="248"/>
      <c r="F30" s="248">
        <v>0</v>
      </c>
      <c r="G30" s="248">
        <v>2278.5</v>
      </c>
      <c r="H30" s="181">
        <f t="shared" si="2"/>
        <v>2E-3</v>
      </c>
      <c r="I30" s="170" t="e">
        <f t="shared" si="3"/>
        <v>#DIV/0!</v>
      </c>
      <c r="J30" s="171">
        <f t="shared" si="4"/>
        <v>0</v>
      </c>
      <c r="K30" s="170">
        <f t="shared" si="5"/>
        <v>1</v>
      </c>
      <c r="L30" s="217">
        <f t="shared" si="8"/>
        <v>2278.5</v>
      </c>
      <c r="M30" s="21"/>
    </row>
    <row r="31" spans="1:13" s="18" customFormat="1" ht="27" x14ac:dyDescent="0.2">
      <c r="A31" s="46" t="s">
        <v>37</v>
      </c>
      <c r="B31" s="47" t="s">
        <v>2</v>
      </c>
      <c r="C31" s="108">
        <f>SUM(C32:C34)</f>
        <v>7691.1</v>
      </c>
      <c r="D31" s="108">
        <f t="shared" ref="D31:G31" si="22">SUM(D32:D34)</f>
        <v>10227</v>
      </c>
      <c r="E31" s="108">
        <f t="shared" si="22"/>
        <v>6373.9</v>
      </c>
      <c r="F31" s="108">
        <f t="shared" ref="F31" si="23">SUM(F32:F34)</f>
        <v>15853.3</v>
      </c>
      <c r="G31" s="108">
        <f t="shared" si="22"/>
        <v>10173.799999999999</v>
      </c>
      <c r="H31" s="181">
        <f t="shared" si="2"/>
        <v>7.0000000000000001E-3</v>
      </c>
      <c r="I31" s="170">
        <f t="shared" si="3"/>
        <v>1.5960000000000001</v>
      </c>
      <c r="J31" s="171">
        <f t="shared" si="4"/>
        <v>-53.2</v>
      </c>
      <c r="K31" s="170">
        <f t="shared" si="5"/>
        <v>0.995</v>
      </c>
      <c r="L31" s="217">
        <f t="shared" si="8"/>
        <v>-5679.5</v>
      </c>
      <c r="M31" s="20"/>
    </row>
    <row r="32" spans="1:13" s="18" customFormat="1" ht="94.5" x14ac:dyDescent="0.2">
      <c r="A32" s="13" t="s">
        <v>158</v>
      </c>
      <c r="B32" s="41" t="s">
        <v>111</v>
      </c>
      <c r="C32" s="127">
        <v>1466.1</v>
      </c>
      <c r="D32" s="24">
        <v>1274.2</v>
      </c>
      <c r="E32" s="24">
        <v>1205.0999999999999</v>
      </c>
      <c r="F32" s="33">
        <v>3112.8</v>
      </c>
      <c r="G32" s="33">
        <v>1251.7</v>
      </c>
      <c r="H32" s="175">
        <f t="shared" si="2"/>
        <v>1E-3</v>
      </c>
      <c r="I32" s="170">
        <f t="shared" si="3"/>
        <v>1.0389999999999999</v>
      </c>
      <c r="J32" s="218">
        <f t="shared" si="4"/>
        <v>-22.5</v>
      </c>
      <c r="K32" s="170">
        <f t="shared" si="5"/>
        <v>0.98199999999999998</v>
      </c>
      <c r="L32" s="217">
        <f t="shared" si="8"/>
        <v>-1861.1</v>
      </c>
      <c r="M32" s="20"/>
    </row>
    <row r="33" spans="1:13" s="18" customFormat="1" ht="54" x14ac:dyDescent="0.2">
      <c r="A33" s="13" t="s">
        <v>193</v>
      </c>
      <c r="B33" s="41" t="s">
        <v>41</v>
      </c>
      <c r="C33" s="127">
        <v>6225</v>
      </c>
      <c r="D33" s="24">
        <f>8175+777.8</f>
        <v>8952.7999999999993</v>
      </c>
      <c r="E33" s="24">
        <v>5168.8</v>
      </c>
      <c r="F33" s="33">
        <v>12740.5</v>
      </c>
      <c r="G33" s="33">
        <v>8922.1</v>
      </c>
      <c r="H33" s="175">
        <f t="shared" si="2"/>
        <v>6.0000000000000001E-3</v>
      </c>
      <c r="I33" s="170">
        <f>G33/E33</f>
        <v>1.726</v>
      </c>
      <c r="J33" s="218">
        <f t="shared" si="4"/>
        <v>-30.7</v>
      </c>
      <c r="K33" s="170">
        <f t="shared" si="5"/>
        <v>0.997</v>
      </c>
      <c r="L33" s="217">
        <f t="shared" si="8"/>
        <v>-3818.4</v>
      </c>
      <c r="M33" s="20"/>
    </row>
    <row r="34" spans="1:13" s="18" customFormat="1" ht="54" hidden="1" customHeight="1" x14ac:dyDescent="0.2">
      <c r="A34" s="13" t="s">
        <v>160</v>
      </c>
      <c r="B34" s="41" t="s">
        <v>131</v>
      </c>
      <c r="C34" s="107">
        <v>0</v>
      </c>
      <c r="D34" s="24">
        <v>0</v>
      </c>
      <c r="E34" s="24"/>
      <c r="F34" s="33">
        <v>0</v>
      </c>
      <c r="G34" s="33">
        <v>0</v>
      </c>
      <c r="H34" s="175">
        <f t="shared" si="2"/>
        <v>0</v>
      </c>
      <c r="I34" s="170" t="e">
        <f t="shared" ref="I34:I38" si="24">G34/E34</f>
        <v>#DIV/0!</v>
      </c>
      <c r="J34" s="218">
        <f t="shared" si="4"/>
        <v>0</v>
      </c>
      <c r="K34" s="170" t="e">
        <f t="shared" si="5"/>
        <v>#DIV/0!</v>
      </c>
      <c r="L34" s="217">
        <f t="shared" si="8"/>
        <v>0</v>
      </c>
      <c r="M34" s="20"/>
    </row>
    <row r="35" spans="1:13" s="18" customFormat="1" ht="12.75" customHeight="1" x14ac:dyDescent="0.2">
      <c r="A35" s="43" t="s">
        <v>129</v>
      </c>
      <c r="B35" s="44" t="s">
        <v>130</v>
      </c>
      <c r="C35" s="109">
        <f>SUM(C36:C38)</f>
        <v>0</v>
      </c>
      <c r="D35" s="109">
        <f t="shared" ref="D35:G35" si="25">SUM(D36:D38)</f>
        <v>163.4</v>
      </c>
      <c r="E35" s="109">
        <f t="shared" si="25"/>
        <v>0</v>
      </c>
      <c r="F35" s="109">
        <f t="shared" ref="F35" si="26">SUM(F36:F38)</f>
        <v>136.9</v>
      </c>
      <c r="G35" s="109">
        <f t="shared" si="25"/>
        <v>163.4</v>
      </c>
      <c r="H35" s="181">
        <f t="shared" si="2"/>
        <v>0</v>
      </c>
      <c r="I35" s="170">
        <v>0</v>
      </c>
      <c r="J35" s="171">
        <f t="shared" si="4"/>
        <v>0</v>
      </c>
      <c r="K35" s="170">
        <f t="shared" si="5"/>
        <v>1</v>
      </c>
      <c r="L35" s="217">
        <f t="shared" si="8"/>
        <v>26.5</v>
      </c>
      <c r="M35" s="20"/>
    </row>
    <row r="36" spans="1:13" s="18" customFormat="1" ht="40.5" hidden="1" customHeight="1" x14ac:dyDescent="0.2">
      <c r="A36" s="13" t="s">
        <v>199</v>
      </c>
      <c r="B36" s="41" t="s">
        <v>198</v>
      </c>
      <c r="C36" s="107">
        <v>0</v>
      </c>
      <c r="D36" s="24">
        <v>0</v>
      </c>
      <c r="E36" s="24"/>
      <c r="F36" s="33">
        <v>0</v>
      </c>
      <c r="G36" s="33">
        <v>0</v>
      </c>
      <c r="H36" s="175">
        <f t="shared" si="2"/>
        <v>0</v>
      </c>
      <c r="I36" s="170" t="e">
        <f t="shared" si="24"/>
        <v>#DIV/0!</v>
      </c>
      <c r="J36" s="218">
        <f t="shared" si="4"/>
        <v>0</v>
      </c>
      <c r="K36" s="170" t="e">
        <f t="shared" si="5"/>
        <v>#DIV/0!</v>
      </c>
      <c r="L36" s="217">
        <f t="shared" si="8"/>
        <v>0</v>
      </c>
      <c r="M36" s="20"/>
    </row>
    <row r="37" spans="1:13" s="18" customFormat="1" ht="54" x14ac:dyDescent="0.2">
      <c r="A37" s="13" t="s">
        <v>284</v>
      </c>
      <c r="B37" s="41" t="s">
        <v>149</v>
      </c>
      <c r="C37" s="127">
        <v>0</v>
      </c>
      <c r="D37" s="24">
        <v>163.4</v>
      </c>
      <c r="E37" s="24">
        <v>0</v>
      </c>
      <c r="F37" s="33">
        <v>136.9</v>
      </c>
      <c r="G37" s="33">
        <v>163.4</v>
      </c>
      <c r="H37" s="175">
        <f t="shared" si="2"/>
        <v>0</v>
      </c>
      <c r="I37" s="170">
        <v>0</v>
      </c>
      <c r="J37" s="218">
        <f>G37-D37</f>
        <v>0</v>
      </c>
      <c r="K37" s="170">
        <f t="shared" si="5"/>
        <v>1</v>
      </c>
      <c r="L37" s="217">
        <f t="shared" si="8"/>
        <v>26.5</v>
      </c>
      <c r="M37" s="20"/>
    </row>
    <row r="38" spans="1:13" s="18" customFormat="1" ht="54" hidden="1" customHeight="1" x14ac:dyDescent="0.2">
      <c r="A38" s="13" t="s">
        <v>201</v>
      </c>
      <c r="B38" s="41" t="s">
        <v>200</v>
      </c>
      <c r="C38" s="107">
        <v>0</v>
      </c>
      <c r="D38" s="24">
        <v>0</v>
      </c>
      <c r="E38" s="24"/>
      <c r="F38" s="33">
        <v>0</v>
      </c>
      <c r="G38" s="33">
        <v>0</v>
      </c>
      <c r="H38" s="175">
        <f t="shared" si="2"/>
        <v>0</v>
      </c>
      <c r="I38" s="170" t="e">
        <f t="shared" si="24"/>
        <v>#DIV/0!</v>
      </c>
      <c r="J38" s="218">
        <f t="shared" si="4"/>
        <v>0</v>
      </c>
      <c r="K38" s="170" t="e">
        <f t="shared" si="5"/>
        <v>#DIV/0!</v>
      </c>
      <c r="L38" s="217">
        <f t="shared" si="8"/>
        <v>0</v>
      </c>
      <c r="M38" s="20"/>
    </row>
    <row r="39" spans="1:13" s="18" customFormat="1" x14ac:dyDescent="0.2">
      <c r="A39" s="43" t="s">
        <v>3</v>
      </c>
      <c r="B39" s="44" t="s">
        <v>5</v>
      </c>
      <c r="C39" s="109">
        <f>SUM(C40:C41)</f>
        <v>0</v>
      </c>
      <c r="D39" s="109">
        <f>SUM(D40:D41)</f>
        <v>0</v>
      </c>
      <c r="E39" s="109">
        <f>SUM(E40:E41)</f>
        <v>0</v>
      </c>
      <c r="F39" s="109">
        <f t="shared" ref="F39" si="27">SUM(F40:F41)</f>
        <v>-0.1</v>
      </c>
      <c r="G39" s="109">
        <f>SUM(G40:G41)</f>
        <v>0.7</v>
      </c>
      <c r="H39" s="181">
        <f t="shared" si="2"/>
        <v>0</v>
      </c>
      <c r="I39" s="170">
        <v>0</v>
      </c>
      <c r="J39" s="171">
        <f t="shared" si="4"/>
        <v>0.7</v>
      </c>
      <c r="K39" s="170">
        <v>0</v>
      </c>
      <c r="L39" s="217">
        <f t="shared" si="8"/>
        <v>0.8</v>
      </c>
      <c r="M39" s="20"/>
    </row>
    <row r="40" spans="1:13" s="18" customFormat="1" ht="27" x14ac:dyDescent="0.2">
      <c r="A40" s="13" t="s">
        <v>150</v>
      </c>
      <c r="B40" s="41" t="s">
        <v>48</v>
      </c>
      <c r="C40" s="127">
        <v>0</v>
      </c>
      <c r="D40" s="24">
        <v>0</v>
      </c>
      <c r="E40" s="24">
        <v>0</v>
      </c>
      <c r="F40" s="33">
        <v>-0.1</v>
      </c>
      <c r="G40" s="33">
        <v>0.7</v>
      </c>
      <c r="H40" s="175">
        <f t="shared" si="2"/>
        <v>0</v>
      </c>
      <c r="I40" s="170">
        <v>0</v>
      </c>
      <c r="J40" s="218">
        <f t="shared" si="4"/>
        <v>0.7</v>
      </c>
      <c r="K40" s="170">
        <v>0</v>
      </c>
      <c r="L40" s="217">
        <f t="shared" si="8"/>
        <v>0.8</v>
      </c>
      <c r="M40" s="20"/>
    </row>
    <row r="41" spans="1:13" s="18" customFormat="1" ht="27" hidden="1" customHeight="1" x14ac:dyDescent="0.2">
      <c r="A41" s="13" t="s">
        <v>155</v>
      </c>
      <c r="B41" s="41" t="s">
        <v>159</v>
      </c>
      <c r="C41" s="107">
        <v>0</v>
      </c>
      <c r="D41" s="24">
        <v>0</v>
      </c>
      <c r="E41" s="24"/>
      <c r="F41" s="33">
        <v>0</v>
      </c>
      <c r="G41" s="33">
        <v>0</v>
      </c>
      <c r="H41" s="175">
        <f>G41/Всего_доходов_2003</f>
        <v>0</v>
      </c>
      <c r="I41" s="170" t="e">
        <f t="shared" ref="I41:I62" si="28">G41/E41</f>
        <v>#DIV/0!</v>
      </c>
      <c r="J41" s="218">
        <f t="shared" si="4"/>
        <v>0</v>
      </c>
      <c r="K41" s="170" t="e">
        <f t="shared" si="5"/>
        <v>#DIV/0!</v>
      </c>
      <c r="L41" s="217">
        <f t="shared" si="8"/>
        <v>0</v>
      </c>
      <c r="M41" s="20"/>
    </row>
    <row r="42" spans="1:13" s="18" customFormat="1" x14ac:dyDescent="0.2">
      <c r="A42" s="43" t="s">
        <v>39</v>
      </c>
      <c r="B42" s="48" t="s">
        <v>4</v>
      </c>
      <c r="C42" s="109">
        <f>SUM(C43,C45,C52,C57,C60)</f>
        <v>32373.8</v>
      </c>
      <c r="D42" s="109">
        <f t="shared" ref="D42:G42" si="29">SUM(D43,D45,D52,D57,D60)</f>
        <v>722178.4</v>
      </c>
      <c r="E42" s="109">
        <f t="shared" si="29"/>
        <v>126801.9</v>
      </c>
      <c r="F42" s="109">
        <f>SUM(F43,F45,F52,F57,F60)</f>
        <v>516016.7</v>
      </c>
      <c r="G42" s="109">
        <f t="shared" si="29"/>
        <v>712253.3</v>
      </c>
      <c r="H42" s="181">
        <f>G42/Всего_доходов_2003</f>
        <v>0.502</v>
      </c>
      <c r="I42" s="170">
        <f t="shared" si="28"/>
        <v>5.617</v>
      </c>
      <c r="J42" s="171">
        <f t="shared" si="4"/>
        <v>-9925.1</v>
      </c>
      <c r="K42" s="170">
        <f t="shared" si="5"/>
        <v>0.98599999999999999</v>
      </c>
      <c r="L42" s="217">
        <f t="shared" si="8"/>
        <v>196236.6</v>
      </c>
      <c r="M42" s="20"/>
    </row>
    <row r="43" spans="1:13" s="18" customFormat="1" ht="27" x14ac:dyDescent="0.2">
      <c r="A43" s="49" t="s">
        <v>212</v>
      </c>
      <c r="B43" s="50" t="s">
        <v>176</v>
      </c>
      <c r="C43" s="109">
        <f>C44</f>
        <v>12375</v>
      </c>
      <c r="D43" s="109">
        <f t="shared" ref="D43:G43" si="30">D44</f>
        <v>12375</v>
      </c>
      <c r="E43" s="109">
        <f t="shared" si="30"/>
        <v>9010.9</v>
      </c>
      <c r="F43" s="109">
        <f t="shared" si="30"/>
        <v>10648.2</v>
      </c>
      <c r="G43" s="109">
        <f t="shared" si="30"/>
        <v>12375</v>
      </c>
      <c r="H43" s="181">
        <f>G43/Всего_доходов_2003</f>
        <v>8.9999999999999993E-3</v>
      </c>
      <c r="I43" s="170">
        <f t="shared" si="28"/>
        <v>1.373</v>
      </c>
      <c r="J43" s="171">
        <f t="shared" si="4"/>
        <v>0</v>
      </c>
      <c r="K43" s="170">
        <f t="shared" si="5"/>
        <v>1</v>
      </c>
      <c r="L43" s="217">
        <f t="shared" si="8"/>
        <v>1726.8</v>
      </c>
      <c r="M43" s="20"/>
    </row>
    <row r="44" spans="1:13" s="18" customFormat="1" ht="27" x14ac:dyDescent="0.2">
      <c r="A44" s="51" t="s">
        <v>211</v>
      </c>
      <c r="B44" s="52" t="s">
        <v>177</v>
      </c>
      <c r="C44" s="127">
        <v>12375</v>
      </c>
      <c r="D44" s="127">
        <v>12375</v>
      </c>
      <c r="E44" s="33">
        <v>9010.9</v>
      </c>
      <c r="F44" s="33">
        <v>10648.2</v>
      </c>
      <c r="G44" s="33">
        <v>12375</v>
      </c>
      <c r="H44" s="175">
        <f>G44/Всего_доходов_2003</f>
        <v>8.9999999999999993E-3</v>
      </c>
      <c r="I44" s="170">
        <f t="shared" si="28"/>
        <v>1.373</v>
      </c>
      <c r="J44" s="218">
        <f t="shared" si="4"/>
        <v>0</v>
      </c>
      <c r="K44" s="170">
        <f t="shared" si="5"/>
        <v>1</v>
      </c>
      <c r="L44" s="217">
        <f t="shared" si="8"/>
        <v>1726.8</v>
      </c>
      <c r="M44" s="20"/>
    </row>
    <row r="45" spans="1:13" s="18" customFormat="1" ht="40.5" customHeight="1" x14ac:dyDescent="0.2">
      <c r="A45" s="53" t="s">
        <v>218</v>
      </c>
      <c r="B45" s="48" t="s">
        <v>112</v>
      </c>
      <c r="C45" s="109">
        <f>SUM(C46:C51)</f>
        <v>6565.2</v>
      </c>
      <c r="D45" s="109">
        <f t="shared" ref="D45:G45" si="31">SUM(D46:D51)</f>
        <v>286382.5</v>
      </c>
      <c r="E45" s="109">
        <f t="shared" si="31"/>
        <v>106243.5</v>
      </c>
      <c r="F45" s="109">
        <f t="shared" si="31"/>
        <v>227077.9</v>
      </c>
      <c r="G45" s="109">
        <f t="shared" si="31"/>
        <v>277211.8</v>
      </c>
      <c r="H45" s="181">
        <f>G45/Всего_доходов_2003</f>
        <v>0.19500000000000001</v>
      </c>
      <c r="I45" s="170">
        <f t="shared" si="28"/>
        <v>2.609</v>
      </c>
      <c r="J45" s="171">
        <f t="shared" si="4"/>
        <v>-9170.7000000000007</v>
      </c>
      <c r="K45" s="170">
        <f t="shared" si="5"/>
        <v>0.96799999999999997</v>
      </c>
      <c r="L45" s="217">
        <f t="shared" si="8"/>
        <v>50133.9</v>
      </c>
      <c r="M45" s="20"/>
    </row>
    <row r="46" spans="1:13" s="22" customFormat="1" ht="60" customHeight="1" x14ac:dyDescent="0.25">
      <c r="A46" s="99" t="s">
        <v>210</v>
      </c>
      <c r="B46" s="98" t="s">
        <v>195</v>
      </c>
      <c r="C46" s="127">
        <v>0</v>
      </c>
      <c r="D46" s="127">
        <v>89755.3</v>
      </c>
      <c r="E46" s="33">
        <v>67574.3</v>
      </c>
      <c r="F46" s="33">
        <v>67927.899999999994</v>
      </c>
      <c r="G46" s="33">
        <v>89755.3</v>
      </c>
      <c r="H46" s="175">
        <f t="shared" ref="H46:H52" si="32">G46/Всего_доходов_2003</f>
        <v>6.3E-2</v>
      </c>
      <c r="I46" s="170">
        <f t="shared" si="28"/>
        <v>1.3280000000000001</v>
      </c>
      <c r="J46" s="218">
        <f>G46-D46</f>
        <v>0</v>
      </c>
      <c r="K46" s="170">
        <f t="shared" si="5"/>
        <v>1</v>
      </c>
      <c r="L46" s="217">
        <f t="shared" si="8"/>
        <v>21827.4</v>
      </c>
    </row>
    <row r="47" spans="1:13" s="22" customFormat="1" ht="60" customHeight="1" x14ac:dyDescent="0.25">
      <c r="A47" s="99" t="s">
        <v>219</v>
      </c>
      <c r="B47" s="98" t="s">
        <v>220</v>
      </c>
      <c r="C47" s="127">
        <v>0</v>
      </c>
      <c r="D47" s="127">
        <v>72580</v>
      </c>
      <c r="E47" s="33">
        <v>20909.2</v>
      </c>
      <c r="F47" s="33">
        <v>0</v>
      </c>
      <c r="G47" s="33">
        <v>68721.2</v>
      </c>
      <c r="H47" s="175">
        <f t="shared" si="32"/>
        <v>4.8000000000000001E-2</v>
      </c>
      <c r="I47" s="170">
        <f t="shared" si="28"/>
        <v>3.2869999999999999</v>
      </c>
      <c r="J47" s="218">
        <f t="shared" ref="J47:J62" si="33">G47-D47</f>
        <v>-3858.8</v>
      </c>
      <c r="K47" s="170">
        <f t="shared" si="5"/>
        <v>0.94699999999999995</v>
      </c>
      <c r="L47" s="217">
        <f t="shared" si="8"/>
        <v>68721.2</v>
      </c>
    </row>
    <row r="48" spans="1:13" s="22" customFormat="1" ht="81" x14ac:dyDescent="0.25">
      <c r="A48" s="99" t="s">
        <v>240</v>
      </c>
      <c r="B48" s="98" t="s">
        <v>192</v>
      </c>
      <c r="C48" s="127">
        <v>0</v>
      </c>
      <c r="D48" s="127">
        <v>0</v>
      </c>
      <c r="E48" s="33">
        <v>0</v>
      </c>
      <c r="F48" s="33">
        <v>149630</v>
      </c>
      <c r="G48" s="33">
        <v>0</v>
      </c>
      <c r="H48" s="175">
        <f t="shared" si="32"/>
        <v>0</v>
      </c>
      <c r="I48" s="170">
        <v>0</v>
      </c>
      <c r="J48" s="218">
        <f>G48-D48</f>
        <v>0</v>
      </c>
      <c r="K48" s="170">
        <v>0</v>
      </c>
      <c r="L48" s="217">
        <f t="shared" si="8"/>
        <v>-149630</v>
      </c>
    </row>
    <row r="49" spans="1:16" s="22" customFormat="1" ht="60" customHeight="1" x14ac:dyDescent="0.25">
      <c r="A49" s="99" t="s">
        <v>238</v>
      </c>
      <c r="B49" s="98" t="s">
        <v>239</v>
      </c>
      <c r="C49" s="127">
        <v>0</v>
      </c>
      <c r="D49" s="127">
        <v>2482</v>
      </c>
      <c r="E49" s="33">
        <v>0</v>
      </c>
      <c r="F49" s="33">
        <v>0</v>
      </c>
      <c r="G49" s="33">
        <v>0</v>
      </c>
      <c r="H49" s="175">
        <f t="shared" si="32"/>
        <v>0</v>
      </c>
      <c r="I49" s="170">
        <v>0</v>
      </c>
      <c r="J49" s="218">
        <f t="shared" si="33"/>
        <v>-2482</v>
      </c>
      <c r="K49" s="170">
        <f t="shared" si="5"/>
        <v>0</v>
      </c>
      <c r="L49" s="217">
        <f t="shared" si="8"/>
        <v>0</v>
      </c>
    </row>
    <row r="50" spans="1:16" s="22" customFormat="1" ht="40.5" x14ac:dyDescent="0.25">
      <c r="A50" s="99" t="s">
        <v>221</v>
      </c>
      <c r="B50" s="98" t="s">
        <v>222</v>
      </c>
      <c r="C50" s="127">
        <v>6565.2</v>
      </c>
      <c r="D50" s="127">
        <v>6565.2</v>
      </c>
      <c r="E50" s="33">
        <v>2760</v>
      </c>
      <c r="F50" s="33">
        <v>9520</v>
      </c>
      <c r="G50" s="33">
        <v>3735.3</v>
      </c>
      <c r="H50" s="175">
        <f t="shared" si="32"/>
        <v>3.0000000000000001E-3</v>
      </c>
      <c r="I50" s="170">
        <f t="shared" si="28"/>
        <v>1.353</v>
      </c>
      <c r="J50" s="218">
        <f t="shared" si="33"/>
        <v>-2829.9</v>
      </c>
      <c r="K50" s="170">
        <f t="shared" si="5"/>
        <v>0.56899999999999995</v>
      </c>
      <c r="L50" s="217">
        <f t="shared" si="8"/>
        <v>-5784.7</v>
      </c>
    </row>
    <row r="51" spans="1:16" s="22" customFormat="1" ht="78.75" customHeight="1" x14ac:dyDescent="0.25">
      <c r="A51" s="99" t="s">
        <v>217</v>
      </c>
      <c r="B51" s="98" t="s">
        <v>192</v>
      </c>
      <c r="C51" s="127">
        <v>0</v>
      </c>
      <c r="D51" s="127">
        <v>115000</v>
      </c>
      <c r="E51" s="33">
        <v>15000</v>
      </c>
      <c r="F51" s="33">
        <v>0</v>
      </c>
      <c r="G51" s="33">
        <v>115000</v>
      </c>
      <c r="H51" s="175">
        <f t="shared" si="32"/>
        <v>8.1000000000000003E-2</v>
      </c>
      <c r="I51" s="170">
        <f t="shared" si="28"/>
        <v>7.6669999999999998</v>
      </c>
      <c r="J51" s="218">
        <f>G51-D51</f>
        <v>0</v>
      </c>
      <c r="K51" s="170">
        <f t="shared" si="5"/>
        <v>1</v>
      </c>
      <c r="L51" s="217">
        <f t="shared" si="8"/>
        <v>115000</v>
      </c>
      <c r="P51" s="22" t="s">
        <v>288</v>
      </c>
    </row>
    <row r="52" spans="1:16" s="22" customFormat="1" ht="13.5" customHeight="1" x14ac:dyDescent="0.25">
      <c r="A52" s="118" t="s">
        <v>209</v>
      </c>
      <c r="B52" s="119" t="s">
        <v>181</v>
      </c>
      <c r="C52" s="110">
        <f>SUM(C53:C56)</f>
        <v>13433.6</v>
      </c>
      <c r="D52" s="110">
        <f t="shared" ref="D52:G52" si="34">SUM(D53:D56)</f>
        <v>422365.9</v>
      </c>
      <c r="E52" s="110">
        <f t="shared" si="34"/>
        <v>10500.2</v>
      </c>
      <c r="F52" s="110">
        <f t="shared" si="34"/>
        <v>277590.5</v>
      </c>
      <c r="G52" s="110">
        <f t="shared" si="34"/>
        <v>421619.1</v>
      </c>
      <c r="H52" s="181">
        <f t="shared" si="32"/>
        <v>0.29699999999999999</v>
      </c>
      <c r="I52" s="170">
        <f t="shared" si="28"/>
        <v>40.152999999999999</v>
      </c>
      <c r="J52" s="171">
        <f t="shared" si="33"/>
        <v>-746.8</v>
      </c>
      <c r="K52" s="170">
        <f t="shared" si="5"/>
        <v>0.998</v>
      </c>
      <c r="L52" s="217">
        <f t="shared" si="8"/>
        <v>144028.6</v>
      </c>
    </row>
    <row r="53" spans="1:16" s="22" customFormat="1" ht="73.5" customHeight="1" x14ac:dyDescent="0.25">
      <c r="A53" s="99" t="s">
        <v>287</v>
      </c>
      <c r="B53" s="98" t="s">
        <v>289</v>
      </c>
      <c r="C53" s="127">
        <v>0</v>
      </c>
      <c r="D53" s="127">
        <v>299900</v>
      </c>
      <c r="E53" s="127"/>
      <c r="F53" s="127">
        <v>270000</v>
      </c>
      <c r="G53" s="127">
        <v>299900</v>
      </c>
      <c r="H53" s="151">
        <f t="shared" ref="H53:H62" si="35">G53/Всего_доходов_2003</f>
        <v>0.21099999999999999</v>
      </c>
      <c r="I53" s="222"/>
      <c r="J53" s="218">
        <f>G53-D53</f>
        <v>0</v>
      </c>
      <c r="K53" s="222">
        <f t="shared" ref="K53:K55" si="36">G53/D53</f>
        <v>1</v>
      </c>
      <c r="L53" s="211">
        <f t="shared" ref="L53:L55" si="37">G53-F53</f>
        <v>29900</v>
      </c>
    </row>
    <row r="54" spans="1:16" s="22" customFormat="1" ht="40.5" x14ac:dyDescent="0.25">
      <c r="A54" s="99" t="s">
        <v>285</v>
      </c>
      <c r="B54" s="137" t="s">
        <v>194</v>
      </c>
      <c r="C54" s="127">
        <v>0</v>
      </c>
      <c r="D54" s="127">
        <v>104315.1</v>
      </c>
      <c r="E54" s="127"/>
      <c r="F54" s="127">
        <v>0</v>
      </c>
      <c r="G54" s="127">
        <v>104315.1</v>
      </c>
      <c r="H54" s="151">
        <f t="shared" si="35"/>
        <v>7.2999999999999995E-2</v>
      </c>
      <c r="I54" s="222"/>
      <c r="J54" s="218">
        <f t="shared" ref="J54:J55" si="38">G54-D54</f>
        <v>0</v>
      </c>
      <c r="K54" s="222">
        <f t="shared" si="36"/>
        <v>1</v>
      </c>
      <c r="L54" s="211">
        <f t="shared" si="37"/>
        <v>104315.1</v>
      </c>
    </row>
    <row r="55" spans="1:16" s="22" customFormat="1" ht="216" x14ac:dyDescent="0.25">
      <c r="A55" s="99" t="s">
        <v>286</v>
      </c>
      <c r="B55" s="137" t="s">
        <v>290</v>
      </c>
      <c r="C55" s="127">
        <v>13433.6</v>
      </c>
      <c r="D55" s="127">
        <v>15309.4</v>
      </c>
      <c r="E55" s="33">
        <v>10075.200000000001</v>
      </c>
      <c r="F55" s="33">
        <v>6820.5</v>
      </c>
      <c r="G55" s="33">
        <v>15309.4</v>
      </c>
      <c r="H55" s="151">
        <f t="shared" si="35"/>
        <v>1.0999999999999999E-2</v>
      </c>
      <c r="I55" s="170">
        <f t="shared" ref="I55" si="39">G55/E55</f>
        <v>1.52</v>
      </c>
      <c r="J55" s="218">
        <f t="shared" si="38"/>
        <v>0</v>
      </c>
      <c r="K55" s="222">
        <f t="shared" si="36"/>
        <v>1</v>
      </c>
      <c r="L55" s="211">
        <f t="shared" si="37"/>
        <v>8488.9</v>
      </c>
    </row>
    <row r="56" spans="1:16" s="22" customFormat="1" ht="67.5" x14ac:dyDescent="0.25">
      <c r="A56" s="99" t="s">
        <v>251</v>
      </c>
      <c r="B56" s="137" t="s">
        <v>250</v>
      </c>
      <c r="C56" s="127">
        <v>0</v>
      </c>
      <c r="D56" s="127">
        <v>2841.4</v>
      </c>
      <c r="E56" s="33">
        <v>425</v>
      </c>
      <c r="F56" s="33">
        <v>770</v>
      </c>
      <c r="G56" s="33">
        <v>2094.6</v>
      </c>
      <c r="H56" s="151">
        <f t="shared" si="35"/>
        <v>1E-3</v>
      </c>
      <c r="I56" s="170">
        <f t="shared" si="28"/>
        <v>4.9279999999999999</v>
      </c>
      <c r="J56" s="218">
        <f t="shared" si="33"/>
        <v>-746.8</v>
      </c>
      <c r="K56" s="222">
        <f t="shared" si="5"/>
        <v>0.73699999999999999</v>
      </c>
      <c r="L56" s="211">
        <f t="shared" si="8"/>
        <v>1324.6</v>
      </c>
    </row>
    <row r="57" spans="1:16" s="18" customFormat="1" x14ac:dyDescent="0.2">
      <c r="A57" s="53" t="s">
        <v>215</v>
      </c>
      <c r="B57" s="48" t="s">
        <v>214</v>
      </c>
      <c r="C57" s="110">
        <f>C58+C59</f>
        <v>0</v>
      </c>
      <c r="D57" s="110">
        <f t="shared" ref="D57:G57" si="40">D58+D59</f>
        <v>1055</v>
      </c>
      <c r="E57" s="110">
        <f t="shared" si="40"/>
        <v>1047.3</v>
      </c>
      <c r="F57" s="110">
        <f t="shared" si="40"/>
        <v>700</v>
      </c>
      <c r="G57" s="110">
        <f t="shared" si="40"/>
        <v>1047.4000000000001</v>
      </c>
      <c r="H57" s="110">
        <f t="shared" si="35"/>
        <v>0</v>
      </c>
      <c r="I57" s="170">
        <f t="shared" si="28"/>
        <v>1</v>
      </c>
      <c r="J57" s="171">
        <f t="shared" si="33"/>
        <v>-7.6</v>
      </c>
      <c r="K57" s="170">
        <f t="shared" si="5"/>
        <v>0.99299999999999999</v>
      </c>
      <c r="L57" s="217">
        <f t="shared" si="8"/>
        <v>347.4</v>
      </c>
      <c r="M57" s="20"/>
    </row>
    <row r="58" spans="1:16" s="18" customFormat="1" ht="27" x14ac:dyDescent="0.2">
      <c r="A58" s="204" t="s">
        <v>252</v>
      </c>
      <c r="B58" s="205" t="s">
        <v>213</v>
      </c>
      <c r="C58" s="127">
        <v>0</v>
      </c>
      <c r="D58" s="127">
        <v>900</v>
      </c>
      <c r="E58" s="33">
        <v>900</v>
      </c>
      <c r="F58" s="127">
        <v>700</v>
      </c>
      <c r="G58" s="127">
        <v>900</v>
      </c>
      <c r="H58" s="175">
        <f t="shared" si="35"/>
        <v>1E-3</v>
      </c>
      <c r="I58" s="170">
        <f t="shared" si="28"/>
        <v>1</v>
      </c>
      <c r="J58" s="218">
        <f t="shared" si="33"/>
        <v>0</v>
      </c>
      <c r="K58" s="170">
        <f t="shared" si="5"/>
        <v>1</v>
      </c>
      <c r="L58" s="217">
        <f t="shared" si="8"/>
        <v>200</v>
      </c>
      <c r="M58" s="20"/>
    </row>
    <row r="59" spans="1:16" s="18" customFormat="1" ht="27" x14ac:dyDescent="0.2">
      <c r="A59" s="204" t="s">
        <v>216</v>
      </c>
      <c r="B59" s="205" t="s">
        <v>213</v>
      </c>
      <c r="C59" s="127">
        <v>0</v>
      </c>
      <c r="D59" s="127">
        <v>155</v>
      </c>
      <c r="E59" s="33">
        <v>147.30000000000001</v>
      </c>
      <c r="F59" s="127">
        <v>0</v>
      </c>
      <c r="G59" s="127">
        <v>147.4</v>
      </c>
      <c r="H59" s="175">
        <f t="shared" si="35"/>
        <v>0</v>
      </c>
      <c r="I59" s="170">
        <f t="shared" si="28"/>
        <v>1.0009999999999999</v>
      </c>
      <c r="J59" s="218">
        <f t="shared" si="33"/>
        <v>-7.6</v>
      </c>
      <c r="K59" s="170">
        <f t="shared" si="5"/>
        <v>0.95099999999999996</v>
      </c>
      <c r="L59" s="217">
        <f t="shared" si="8"/>
        <v>147.4</v>
      </c>
      <c r="M59" s="20"/>
    </row>
    <row r="60" spans="1:16" s="18" customFormat="1" ht="81" x14ac:dyDescent="0.2">
      <c r="A60" s="53" t="s">
        <v>241</v>
      </c>
      <c r="B60" s="48" t="s">
        <v>242</v>
      </c>
      <c r="C60" s="110">
        <f>C61</f>
        <v>0</v>
      </c>
      <c r="D60" s="110">
        <f t="shared" ref="D60:G60" si="41">D61</f>
        <v>0</v>
      </c>
      <c r="E60" s="110">
        <f t="shared" si="41"/>
        <v>0</v>
      </c>
      <c r="F60" s="110">
        <f t="shared" si="41"/>
        <v>0.1</v>
      </c>
      <c r="G60" s="110">
        <f t="shared" si="41"/>
        <v>0</v>
      </c>
      <c r="H60" s="181">
        <f>G60/Всего_доходов_2003</f>
        <v>0</v>
      </c>
      <c r="I60" s="170">
        <v>0</v>
      </c>
      <c r="J60" s="198">
        <f t="shared" si="33"/>
        <v>0</v>
      </c>
      <c r="K60" s="170">
        <v>0</v>
      </c>
      <c r="L60" s="217">
        <f t="shared" si="8"/>
        <v>-0.1</v>
      </c>
      <c r="M60" s="20"/>
    </row>
    <row r="61" spans="1:16" s="18" customFormat="1" ht="40.5" x14ac:dyDescent="0.2">
      <c r="A61" s="51" t="s">
        <v>243</v>
      </c>
      <c r="B61" s="52" t="s">
        <v>244</v>
      </c>
      <c r="C61" s="127">
        <v>0</v>
      </c>
      <c r="D61" s="127">
        <v>0</v>
      </c>
      <c r="E61" s="33">
        <v>0</v>
      </c>
      <c r="F61" s="127">
        <v>0.1</v>
      </c>
      <c r="G61" s="127">
        <v>0</v>
      </c>
      <c r="H61" s="175">
        <f>G61/Всего_доходов_2003</f>
        <v>0</v>
      </c>
      <c r="I61" s="170">
        <v>0</v>
      </c>
      <c r="J61" s="197">
        <f t="shared" si="33"/>
        <v>0</v>
      </c>
      <c r="K61" s="222">
        <v>0</v>
      </c>
      <c r="L61" s="211">
        <f t="shared" si="8"/>
        <v>-0.1</v>
      </c>
      <c r="M61" s="20"/>
    </row>
    <row r="62" spans="1:16" s="23" customFormat="1" x14ac:dyDescent="0.2">
      <c r="A62" s="104"/>
      <c r="B62" s="178" t="s">
        <v>6</v>
      </c>
      <c r="C62" s="179">
        <f>C6+C42</f>
        <v>689100.1</v>
      </c>
      <c r="D62" s="179">
        <f>D6+D42</f>
        <v>1436790.5</v>
      </c>
      <c r="E62" s="179">
        <f>E6+E42</f>
        <v>625481.19999999995</v>
      </c>
      <c r="F62" s="179">
        <f>F6+F42</f>
        <v>1202329.8</v>
      </c>
      <c r="G62" s="179">
        <f>G6+G42</f>
        <v>1420227.7</v>
      </c>
      <c r="H62" s="71">
        <f t="shared" si="35"/>
        <v>1</v>
      </c>
      <c r="I62" s="170">
        <f t="shared" si="28"/>
        <v>2.2709999999999999</v>
      </c>
      <c r="J62" s="171">
        <f t="shared" si="33"/>
        <v>-16562.8</v>
      </c>
      <c r="K62" s="170">
        <f t="shared" si="5"/>
        <v>0.98799999999999999</v>
      </c>
      <c r="L62" s="217">
        <f t="shared" si="8"/>
        <v>217897.9</v>
      </c>
      <c r="M62" s="206"/>
    </row>
    <row r="63" spans="1:16" s="11" customFormat="1" x14ac:dyDescent="0.2">
      <c r="A63" s="37"/>
      <c r="B63" s="4"/>
      <c r="C63" s="199"/>
      <c r="D63" s="192"/>
      <c r="E63" s="192"/>
      <c r="F63" s="174"/>
      <c r="G63" s="174"/>
      <c r="H63" s="152"/>
      <c r="I63" s="170"/>
      <c r="J63" s="219"/>
      <c r="K63" s="170"/>
      <c r="L63" s="220"/>
    </row>
    <row r="64" spans="1:16" ht="16.5" x14ac:dyDescent="0.2">
      <c r="A64" s="15" t="s">
        <v>10</v>
      </c>
      <c r="B64" s="244" t="s">
        <v>7</v>
      </c>
      <c r="C64" s="4"/>
      <c r="D64" s="192"/>
      <c r="E64" s="192"/>
      <c r="F64" s="105"/>
      <c r="G64" s="105"/>
      <c r="H64" s="153"/>
      <c r="I64" s="170"/>
      <c r="J64" s="209"/>
      <c r="K64" s="170"/>
      <c r="L64" s="221"/>
    </row>
    <row r="65" spans="1:12" s="23" customFormat="1" x14ac:dyDescent="0.2">
      <c r="A65" s="69" t="s">
        <v>21</v>
      </c>
      <c r="B65" s="180" t="s">
        <v>25</v>
      </c>
      <c r="C65" s="70">
        <f>C66+C67+C68+C71+C74+C75</f>
        <v>13979.2</v>
      </c>
      <c r="D65" s="70">
        <f>D66+D67+D68+D71+D74+D75</f>
        <v>121771.2</v>
      </c>
      <c r="E65" s="70">
        <f>E66+E67+E68+E71+E74+E75</f>
        <v>101188.6</v>
      </c>
      <c r="F65" s="70">
        <f>F66+F67+F68+F75+F74+F71</f>
        <v>37832</v>
      </c>
      <c r="G65" s="70">
        <f>G66+G67+G68+G75+G74</f>
        <v>121526.1</v>
      </c>
      <c r="H65" s="71">
        <f>G65/G223</f>
        <v>8.5000000000000006E-2</v>
      </c>
      <c r="I65" s="170">
        <f>G65/E65</f>
        <v>1.2010000000000001</v>
      </c>
      <c r="J65" s="171">
        <f>G65-D65</f>
        <v>-245.1</v>
      </c>
      <c r="K65" s="170">
        <f t="shared" si="5"/>
        <v>0.998</v>
      </c>
      <c r="L65" s="172">
        <f>G65-F65</f>
        <v>83694.100000000006</v>
      </c>
    </row>
    <row r="66" spans="1:12" ht="40.5" x14ac:dyDescent="0.2">
      <c r="A66" s="14" t="s">
        <v>45</v>
      </c>
      <c r="B66" s="8" t="s">
        <v>53</v>
      </c>
      <c r="C66" s="147">
        <v>2035.6</v>
      </c>
      <c r="D66" s="147">
        <v>1950.4</v>
      </c>
      <c r="E66" s="147">
        <v>1270.4000000000001</v>
      </c>
      <c r="F66" s="5">
        <v>2336.6</v>
      </c>
      <c r="G66" s="147">
        <v>1927</v>
      </c>
      <c r="H66" s="160">
        <f>G66/$G$223</f>
        <v>1E-3</v>
      </c>
      <c r="I66" s="170">
        <f>G66/E66</f>
        <v>1.5169999999999999</v>
      </c>
      <c r="J66" s="209">
        <f>G66-D66</f>
        <v>-23.4</v>
      </c>
      <c r="K66" s="210">
        <f>G66/D66</f>
        <v>0.98799999999999999</v>
      </c>
      <c r="L66" s="211">
        <f>G66-F66</f>
        <v>-409.6</v>
      </c>
    </row>
    <row r="67" spans="1:12" ht="40.5" x14ac:dyDescent="0.2">
      <c r="A67" s="14" t="s">
        <v>46</v>
      </c>
      <c r="B67" s="8" t="s">
        <v>113</v>
      </c>
      <c r="C67" s="147">
        <v>5016.5</v>
      </c>
      <c r="D67" s="147">
        <v>4029.1</v>
      </c>
      <c r="E67" s="147">
        <f>2637.3+0.1</f>
        <v>2637.4</v>
      </c>
      <c r="F67" s="5">
        <v>9459.7999999999993</v>
      </c>
      <c r="G67" s="147">
        <v>3909.5</v>
      </c>
      <c r="H67" s="160">
        <f>G67/$G$223</f>
        <v>3.0000000000000001E-3</v>
      </c>
      <c r="I67" s="170">
        <f>G67/E67</f>
        <v>1.482</v>
      </c>
      <c r="J67" s="209">
        <f>G67-D67</f>
        <v>-119.6</v>
      </c>
      <c r="K67" s="210">
        <f>G67/D67</f>
        <v>0.97</v>
      </c>
      <c r="L67" s="211">
        <f t="shared" ref="L67:L79" si="42">G67-F67</f>
        <v>-5550.3</v>
      </c>
    </row>
    <row r="68" spans="1:12" ht="54" x14ac:dyDescent="0.2">
      <c r="A68" s="14" t="s">
        <v>135</v>
      </c>
      <c r="B68" s="8" t="s">
        <v>114</v>
      </c>
      <c r="C68" s="147">
        <f>C70</f>
        <v>4465.1000000000004</v>
      </c>
      <c r="D68" s="147">
        <v>4112.7</v>
      </c>
      <c r="E68" s="147">
        <f t="shared" ref="E68:F68" si="43">E70</f>
        <v>2879.9</v>
      </c>
      <c r="F68" s="147">
        <f t="shared" si="43"/>
        <v>4368.6000000000004</v>
      </c>
      <c r="G68" s="147">
        <v>4010.7</v>
      </c>
      <c r="H68" s="160">
        <f>G68/$G$223</f>
        <v>3.0000000000000001E-3</v>
      </c>
      <c r="I68" s="170">
        <f>G68/E68</f>
        <v>1.393</v>
      </c>
      <c r="J68" s="209">
        <f>G68-D68</f>
        <v>-102</v>
      </c>
      <c r="K68" s="210">
        <f>G68/D68</f>
        <v>0.97499999999999998</v>
      </c>
      <c r="L68" s="211">
        <f t="shared" si="42"/>
        <v>-357.9</v>
      </c>
    </row>
    <row r="69" spans="1:12" x14ac:dyDescent="0.2">
      <c r="A69" s="14"/>
      <c r="B69" s="8" t="s">
        <v>27</v>
      </c>
      <c r="C69" s="147"/>
      <c r="D69" s="147"/>
      <c r="E69" s="147"/>
      <c r="F69" s="5"/>
      <c r="G69" s="147"/>
      <c r="H69" s="160"/>
      <c r="I69" s="170"/>
      <c r="J69" s="209"/>
      <c r="K69" s="210"/>
      <c r="L69" s="211"/>
    </row>
    <row r="70" spans="1:12" s="36" customFormat="1" ht="40.5" x14ac:dyDescent="0.2">
      <c r="A70" s="183" t="s">
        <v>202</v>
      </c>
      <c r="B70" s="32" t="s">
        <v>188</v>
      </c>
      <c r="C70" s="148">
        <v>4465.1000000000004</v>
      </c>
      <c r="D70" s="148">
        <v>4112.7</v>
      </c>
      <c r="E70" s="148">
        <v>2879.9</v>
      </c>
      <c r="F70" s="148">
        <v>4368.6000000000004</v>
      </c>
      <c r="G70" s="148">
        <v>4010.7</v>
      </c>
      <c r="H70" s="175">
        <f>G70/$G$223</f>
        <v>3.0000000000000001E-3</v>
      </c>
      <c r="I70" s="170">
        <f>G70/E70</f>
        <v>1.393</v>
      </c>
      <c r="J70" s="218">
        <f>G70-D70</f>
        <v>-102</v>
      </c>
      <c r="K70" s="222">
        <f>G70/D70</f>
        <v>0.97499999999999998</v>
      </c>
      <c r="L70" s="211">
        <f t="shared" si="42"/>
        <v>-357.9</v>
      </c>
    </row>
    <row r="71" spans="1:12" ht="40.5" customHeight="1" x14ac:dyDescent="0.2">
      <c r="A71" s="14" t="s">
        <v>253</v>
      </c>
      <c r="B71" s="8" t="s">
        <v>254</v>
      </c>
      <c r="C71" s="147">
        <v>0</v>
      </c>
      <c r="D71" s="147">
        <v>0</v>
      </c>
      <c r="E71" s="147">
        <v>0</v>
      </c>
      <c r="F71" s="5">
        <v>7588.3</v>
      </c>
      <c r="G71" s="147">
        <v>0</v>
      </c>
      <c r="H71" s="175">
        <f t="shared" ref="H71" si="44">G71/$G$223</f>
        <v>0</v>
      </c>
      <c r="I71" s="170">
        <v>0</v>
      </c>
      <c r="J71" s="218">
        <f t="shared" ref="J71:J75" si="45">G71-D71</f>
        <v>0</v>
      </c>
      <c r="K71" s="222">
        <v>0</v>
      </c>
      <c r="L71" s="211">
        <f t="shared" si="42"/>
        <v>-7588.3</v>
      </c>
    </row>
    <row r="72" spans="1:12" ht="13.5" hidden="1" customHeight="1" x14ac:dyDescent="0.2">
      <c r="A72" s="14"/>
      <c r="B72" s="8" t="s">
        <v>27</v>
      </c>
      <c r="C72" s="147"/>
      <c r="D72" s="139"/>
      <c r="E72" s="147"/>
      <c r="F72" s="5"/>
      <c r="G72" s="139"/>
      <c r="H72" s="175">
        <f>G72/$G$223</f>
        <v>0</v>
      </c>
      <c r="I72" s="170" t="e">
        <f>G72/E72</f>
        <v>#DIV/0!</v>
      </c>
      <c r="J72" s="218">
        <f t="shared" si="45"/>
        <v>0</v>
      </c>
      <c r="K72" s="222" t="e">
        <f>G72/D72</f>
        <v>#DIV/0!</v>
      </c>
      <c r="L72" s="211">
        <f t="shared" si="42"/>
        <v>0</v>
      </c>
    </row>
    <row r="73" spans="1:12" s="36" customFormat="1" ht="54" hidden="1" customHeight="1" x14ac:dyDescent="0.2">
      <c r="A73" s="14"/>
      <c r="B73" s="32" t="s">
        <v>132</v>
      </c>
      <c r="C73" s="148">
        <v>0</v>
      </c>
      <c r="D73" s="141">
        <v>0</v>
      </c>
      <c r="E73" s="148"/>
      <c r="F73" s="148">
        <v>0</v>
      </c>
      <c r="G73" s="141"/>
      <c r="H73" s="175">
        <f>G73/$G$223</f>
        <v>0</v>
      </c>
      <c r="I73" s="170" t="e">
        <f>G73/E73</f>
        <v>#DIV/0!</v>
      </c>
      <c r="J73" s="218">
        <f t="shared" si="45"/>
        <v>0</v>
      </c>
      <c r="K73" s="222" t="e">
        <f>G73/D73</f>
        <v>#DIV/0!</v>
      </c>
      <c r="L73" s="211">
        <f t="shared" si="42"/>
        <v>0</v>
      </c>
    </row>
    <row r="74" spans="1:12" hidden="1" x14ac:dyDescent="0.2">
      <c r="A74" s="14" t="s">
        <v>68</v>
      </c>
      <c r="B74" s="8" t="s">
        <v>23</v>
      </c>
      <c r="C74" s="147">
        <v>0</v>
      </c>
      <c r="D74" s="139">
        <v>0</v>
      </c>
      <c r="E74" s="147">
        <v>0</v>
      </c>
      <c r="F74" s="5">
        <v>0</v>
      </c>
      <c r="G74" s="139">
        <v>0</v>
      </c>
      <c r="H74" s="160">
        <f>G74/$G$223</f>
        <v>0</v>
      </c>
      <c r="I74" s="170">
        <v>0</v>
      </c>
      <c r="J74" s="209">
        <f t="shared" si="45"/>
        <v>0</v>
      </c>
      <c r="K74" s="210">
        <v>0</v>
      </c>
      <c r="L74" s="211">
        <f t="shared" si="42"/>
        <v>0</v>
      </c>
    </row>
    <row r="75" spans="1:12" s="1" customFormat="1" x14ac:dyDescent="0.2">
      <c r="A75" s="14" t="s">
        <v>72</v>
      </c>
      <c r="B75" s="8" t="s">
        <v>115</v>
      </c>
      <c r="C75" s="147">
        <v>2462</v>
      </c>
      <c r="D75" s="147">
        <v>111679</v>
      </c>
      <c r="E75" s="147">
        <v>94400.9</v>
      </c>
      <c r="F75" s="5">
        <v>14078.7</v>
      </c>
      <c r="G75" s="147">
        <v>111678.9</v>
      </c>
      <c r="H75" s="160">
        <f>G75/$G$223</f>
        <v>7.8E-2</v>
      </c>
      <c r="I75" s="170">
        <f>G75/E75</f>
        <v>1.1830000000000001</v>
      </c>
      <c r="J75" s="209">
        <f t="shared" si="45"/>
        <v>-0.1</v>
      </c>
      <c r="K75" s="210">
        <f>G75/D75</f>
        <v>1</v>
      </c>
      <c r="L75" s="211">
        <f t="shared" si="42"/>
        <v>97600.2</v>
      </c>
    </row>
    <row r="76" spans="1:12" s="1" customFormat="1" x14ac:dyDescent="0.2">
      <c r="A76" s="14"/>
      <c r="B76" s="240" t="s">
        <v>120</v>
      </c>
      <c r="C76" s="147"/>
      <c r="D76" s="147"/>
      <c r="E76" s="147"/>
      <c r="F76" s="5"/>
      <c r="G76" s="147"/>
      <c r="H76" s="160"/>
      <c r="I76" s="170"/>
      <c r="J76" s="209"/>
      <c r="K76" s="210"/>
      <c r="L76" s="211">
        <f t="shared" si="42"/>
        <v>0</v>
      </c>
    </row>
    <row r="77" spans="1:12" x14ac:dyDescent="0.2">
      <c r="A77" s="14"/>
      <c r="B77" s="7" t="s">
        <v>97</v>
      </c>
      <c r="C77" s="147">
        <v>4563.5</v>
      </c>
      <c r="D77" s="5">
        <v>5753.5</v>
      </c>
      <c r="E77" s="5">
        <v>3787.1</v>
      </c>
      <c r="F77" s="5">
        <v>10849.4</v>
      </c>
      <c r="G77" s="5">
        <v>5610.5</v>
      </c>
      <c r="H77" s="160">
        <f>G77/$G$223</f>
        <v>4.0000000000000001E-3</v>
      </c>
      <c r="I77" s="170">
        <f>G77/E77</f>
        <v>1.4810000000000001</v>
      </c>
      <c r="J77" s="209">
        <f>G77-D77</f>
        <v>-143</v>
      </c>
      <c r="K77" s="210">
        <f>G77/D77</f>
        <v>0.97499999999999998</v>
      </c>
      <c r="L77" s="211">
        <f t="shared" si="42"/>
        <v>-5238.8999999999996</v>
      </c>
    </row>
    <row r="78" spans="1:12" ht="13.5" hidden="1" customHeight="1" x14ac:dyDescent="0.2">
      <c r="A78" s="14"/>
      <c r="B78" s="7" t="s">
        <v>100</v>
      </c>
      <c r="C78" s="147">
        <v>0</v>
      </c>
      <c r="D78" s="5">
        <v>0</v>
      </c>
      <c r="E78" s="5"/>
      <c r="F78" s="5">
        <v>0</v>
      </c>
      <c r="G78" s="5"/>
      <c r="H78" s="160">
        <f>G78/$G$223</f>
        <v>0</v>
      </c>
      <c r="I78" s="170" t="e">
        <f>G78/E78</f>
        <v>#DIV/0!</v>
      </c>
      <c r="J78" s="209">
        <f>G78-D78</f>
        <v>0</v>
      </c>
      <c r="K78" s="210" t="str">
        <f>IF(G78=0,"0,0%", G78/D78)</f>
        <v>0,0%</v>
      </c>
      <c r="L78" s="211">
        <f t="shared" si="42"/>
        <v>0</v>
      </c>
    </row>
    <row r="79" spans="1:12" x14ac:dyDescent="0.2">
      <c r="A79" s="14"/>
      <c r="B79" s="17" t="s">
        <v>141</v>
      </c>
      <c r="C79" s="147">
        <v>6717.1</v>
      </c>
      <c r="D79" s="147">
        <v>7431.8</v>
      </c>
      <c r="E79" s="147">
        <v>4280.8</v>
      </c>
      <c r="F79" s="147">
        <v>7569.7</v>
      </c>
      <c r="G79" s="147">
        <v>7329.7</v>
      </c>
      <c r="H79" s="160">
        <f>G79/$G$223</f>
        <v>5.0000000000000001E-3</v>
      </c>
      <c r="I79" s="170">
        <f>G79/E79</f>
        <v>1.712</v>
      </c>
      <c r="J79" s="209">
        <f>G79-D79</f>
        <v>-102.1</v>
      </c>
      <c r="K79" s="210">
        <f>G79/D79</f>
        <v>0.98599999999999999</v>
      </c>
      <c r="L79" s="211">
        <f t="shared" si="42"/>
        <v>-240</v>
      </c>
    </row>
    <row r="80" spans="1:12" s="23" customFormat="1" ht="27" x14ac:dyDescent="0.2">
      <c r="A80" s="69" t="s">
        <v>88</v>
      </c>
      <c r="B80" s="73" t="s">
        <v>89</v>
      </c>
      <c r="C80" s="70">
        <f>C82+C84</f>
        <v>12010.1</v>
      </c>
      <c r="D80" s="70">
        <f t="shared" ref="D80:G80" si="46">D82+D84</f>
        <v>11968.7</v>
      </c>
      <c r="E80" s="70">
        <f t="shared" si="46"/>
        <v>11393.3</v>
      </c>
      <c r="F80" s="70">
        <f t="shared" ref="F80" si="47">F82+F84</f>
        <v>11905.4</v>
      </c>
      <c r="G80" s="70">
        <f t="shared" si="46"/>
        <v>11968.7</v>
      </c>
      <c r="H80" s="71">
        <f>G80/$G$223</f>
        <v>8.0000000000000002E-3</v>
      </c>
      <c r="I80" s="170">
        <f>G80/E80</f>
        <v>1.0509999999999999</v>
      </c>
      <c r="J80" s="171">
        <f>G80-D80</f>
        <v>0</v>
      </c>
      <c r="K80" s="170">
        <f>G80/D80</f>
        <v>1</v>
      </c>
      <c r="L80" s="172">
        <f>G80-F80</f>
        <v>63.3</v>
      </c>
    </row>
    <row r="81" spans="1:12" s="23" customFormat="1" x14ac:dyDescent="0.2">
      <c r="A81" s="16"/>
      <c r="B81" s="120" t="s">
        <v>137</v>
      </c>
      <c r="C81" s="154"/>
      <c r="D81" s="154"/>
      <c r="E81" s="154"/>
      <c r="F81" s="154"/>
      <c r="G81" s="154"/>
      <c r="H81" s="150"/>
      <c r="I81" s="170"/>
      <c r="J81" s="171"/>
      <c r="K81" s="170"/>
      <c r="L81" s="172"/>
    </row>
    <row r="82" spans="1:12" s="36" customFormat="1" ht="40.5" hidden="1" customHeight="1" x14ac:dyDescent="0.2">
      <c r="A82" s="14" t="s">
        <v>136</v>
      </c>
      <c r="B82" s="17" t="s">
        <v>107</v>
      </c>
      <c r="C82" s="155">
        <v>0</v>
      </c>
      <c r="D82" s="145">
        <v>0</v>
      </c>
      <c r="E82" s="145"/>
      <c r="F82" s="145">
        <v>0</v>
      </c>
      <c r="G82" s="145">
        <v>0</v>
      </c>
      <c r="H82" s="144">
        <f>G82/$G$223</f>
        <v>0</v>
      </c>
      <c r="I82" s="170" t="e">
        <f t="shared" ref="I82:I89" si="48">G82/E82</f>
        <v>#DIV/0!</v>
      </c>
      <c r="J82" s="209">
        <f>G82-D82</f>
        <v>0</v>
      </c>
      <c r="K82" s="210" t="e">
        <f>G82/D82</f>
        <v>#DIV/0!</v>
      </c>
      <c r="L82" s="221" t="e">
        <f>G82-#REF!</f>
        <v>#REF!</v>
      </c>
    </row>
    <row r="83" spans="1:12" s="36" customFormat="1" ht="13.5" hidden="1" customHeight="1" x14ac:dyDescent="0.2">
      <c r="A83" s="14"/>
      <c r="B83" s="6" t="s">
        <v>27</v>
      </c>
      <c r="C83" s="155"/>
      <c r="D83" s="145"/>
      <c r="E83" s="145"/>
      <c r="F83" s="141"/>
      <c r="G83" s="141"/>
      <c r="H83" s="144"/>
      <c r="I83" s="170" t="e">
        <f t="shared" si="48"/>
        <v>#DIV/0!</v>
      </c>
      <c r="J83" s="209"/>
      <c r="K83" s="210"/>
      <c r="L83" s="221"/>
    </row>
    <row r="84" spans="1:12" s="36" customFormat="1" ht="40.5" x14ac:dyDescent="0.2">
      <c r="A84" s="14" t="s">
        <v>136</v>
      </c>
      <c r="B84" s="32" t="s">
        <v>138</v>
      </c>
      <c r="C84" s="148">
        <v>12010.1</v>
      </c>
      <c r="D84" s="148">
        <v>11968.7</v>
      </c>
      <c r="E84" s="148">
        <v>11393.3</v>
      </c>
      <c r="F84" s="148">
        <v>11905.4</v>
      </c>
      <c r="G84" s="148">
        <v>11968.7</v>
      </c>
      <c r="H84" s="175">
        <f>G84/$G$223</f>
        <v>8.0000000000000002E-3</v>
      </c>
      <c r="I84" s="170">
        <f t="shared" si="48"/>
        <v>1.0509999999999999</v>
      </c>
      <c r="J84" s="218">
        <f>G84-D84</f>
        <v>0</v>
      </c>
      <c r="K84" s="222">
        <f>G84/D84</f>
        <v>1</v>
      </c>
      <c r="L84" s="223">
        <f>G84-F84</f>
        <v>63.3</v>
      </c>
    </row>
    <row r="85" spans="1:12" s="36" customFormat="1" ht="13.5" hidden="1" customHeight="1" x14ac:dyDescent="0.2">
      <c r="A85" s="94"/>
      <c r="B85" s="115" t="s">
        <v>121</v>
      </c>
      <c r="C85" s="101"/>
      <c r="D85" s="155"/>
      <c r="E85" s="155"/>
      <c r="F85" s="148"/>
      <c r="G85" s="148"/>
      <c r="H85" s="160"/>
      <c r="I85" s="170" t="e">
        <f t="shared" si="48"/>
        <v>#DIV/0!</v>
      </c>
      <c r="J85" s="209"/>
      <c r="K85" s="210"/>
      <c r="L85" s="221"/>
    </row>
    <row r="86" spans="1:12" s="36" customFormat="1" ht="13.5" hidden="1" customHeight="1" x14ac:dyDescent="0.2">
      <c r="A86" s="94"/>
      <c r="B86" s="103" t="s">
        <v>106</v>
      </c>
      <c r="C86" s="101"/>
      <c r="D86" s="155"/>
      <c r="E86" s="155"/>
      <c r="F86" s="148">
        <v>0</v>
      </c>
      <c r="G86" s="148">
        <v>0</v>
      </c>
      <c r="H86" s="160">
        <f>G86/$G$223</f>
        <v>0</v>
      </c>
      <c r="I86" s="170" t="e">
        <f t="shared" si="48"/>
        <v>#DIV/0!</v>
      </c>
      <c r="J86" s="209">
        <f>G86-D86</f>
        <v>0</v>
      </c>
      <c r="K86" s="210" t="e">
        <f>G86/D86</f>
        <v>#DIV/0!</v>
      </c>
      <c r="L86" s="221" t="e">
        <f>G86-#REF!</f>
        <v>#REF!</v>
      </c>
    </row>
    <row r="87" spans="1:12" s="23" customFormat="1" x14ac:dyDescent="0.2">
      <c r="A87" s="69" t="s">
        <v>24</v>
      </c>
      <c r="B87" s="176" t="s">
        <v>26</v>
      </c>
      <c r="C87" s="177">
        <f>C89+C93+C110+C88</f>
        <v>261797.2</v>
      </c>
      <c r="D87" s="177">
        <f t="shared" ref="D87:G87" si="49">D89+D93+D110+D88</f>
        <v>815548.8</v>
      </c>
      <c r="E87" s="177">
        <f t="shared" si="49"/>
        <v>428854.8</v>
      </c>
      <c r="F87" s="177">
        <f t="shared" si="49"/>
        <v>744420.6</v>
      </c>
      <c r="G87" s="177">
        <f t="shared" si="49"/>
        <v>805943.5</v>
      </c>
      <c r="H87" s="71">
        <f>G87/$G$223</f>
        <v>0.56499999999999995</v>
      </c>
      <c r="I87" s="170">
        <f t="shared" si="48"/>
        <v>1.879</v>
      </c>
      <c r="J87" s="171">
        <f>G87-D87</f>
        <v>-9605.2999999999993</v>
      </c>
      <c r="K87" s="170">
        <f>G87/D87</f>
        <v>0.98799999999999999</v>
      </c>
      <c r="L87" s="172">
        <f>G87-F87</f>
        <v>61522.9</v>
      </c>
    </row>
    <row r="88" spans="1:12" s="23" customFormat="1" x14ac:dyDescent="0.2">
      <c r="A88" s="14" t="s">
        <v>267</v>
      </c>
      <c r="B88" s="245" t="s">
        <v>268</v>
      </c>
      <c r="C88" s="155">
        <v>0</v>
      </c>
      <c r="D88" s="155">
        <v>299</v>
      </c>
      <c r="E88" s="155"/>
      <c r="F88" s="155">
        <v>0</v>
      </c>
      <c r="G88" s="155">
        <v>299</v>
      </c>
      <c r="H88" s="151">
        <f>G88/$G$223</f>
        <v>0</v>
      </c>
      <c r="I88" s="222"/>
      <c r="J88" s="218">
        <f>G88-D88</f>
        <v>0</v>
      </c>
      <c r="K88" s="222">
        <f>G88/D88</f>
        <v>1</v>
      </c>
      <c r="L88" s="223">
        <f>G88-F88</f>
        <v>299</v>
      </c>
    </row>
    <row r="89" spans="1:12" x14ac:dyDescent="0.2">
      <c r="A89" s="3" t="s">
        <v>47</v>
      </c>
      <c r="B89" s="7" t="s">
        <v>90</v>
      </c>
      <c r="C89" s="5">
        <f>C91</f>
        <v>25000</v>
      </c>
      <c r="D89" s="105">
        <f>D91</f>
        <v>26153</v>
      </c>
      <c r="E89" s="105">
        <f>E91</f>
        <v>20444.099999999999</v>
      </c>
      <c r="F89" s="105">
        <f t="shared" ref="F89:G89" si="50">F91</f>
        <v>26192</v>
      </c>
      <c r="G89" s="105">
        <f t="shared" si="50"/>
        <v>26153</v>
      </c>
      <c r="H89" s="160">
        <f>G89/$G$223</f>
        <v>1.7999999999999999E-2</v>
      </c>
      <c r="I89" s="170">
        <f t="shared" si="48"/>
        <v>1.2789999999999999</v>
      </c>
      <c r="J89" s="209">
        <f>G89-D89</f>
        <v>0</v>
      </c>
      <c r="K89" s="210">
        <f>G89/D89</f>
        <v>1</v>
      </c>
      <c r="L89" s="221">
        <f>G89-F89</f>
        <v>-39</v>
      </c>
    </row>
    <row r="90" spans="1:12" x14ac:dyDescent="0.2">
      <c r="A90" s="3"/>
      <c r="B90" s="6" t="s">
        <v>27</v>
      </c>
      <c r="C90" s="5"/>
      <c r="D90" s="5"/>
      <c r="E90" s="5"/>
      <c r="F90" s="166"/>
      <c r="G90" s="166"/>
      <c r="H90" s="160"/>
      <c r="I90" s="170"/>
      <c r="J90" s="209"/>
      <c r="K90" s="210"/>
      <c r="L90" s="221"/>
    </row>
    <row r="91" spans="1:12" ht="54" x14ac:dyDescent="0.2">
      <c r="A91" s="3"/>
      <c r="B91" s="7" t="s">
        <v>110</v>
      </c>
      <c r="C91" s="5">
        <v>25000</v>
      </c>
      <c r="D91" s="5">
        <v>26153</v>
      </c>
      <c r="E91" s="5">
        <v>20444.099999999999</v>
      </c>
      <c r="F91" s="5">
        <v>26192</v>
      </c>
      <c r="G91" s="5">
        <v>26153</v>
      </c>
      <c r="H91" s="160">
        <f>G91/$G$223</f>
        <v>1.7999999999999999E-2</v>
      </c>
      <c r="I91" s="170">
        <f>G91/E91</f>
        <v>1.2789999999999999</v>
      </c>
      <c r="J91" s="209">
        <f>G91-D91</f>
        <v>0</v>
      </c>
      <c r="K91" s="210">
        <f>G91/D91</f>
        <v>1</v>
      </c>
      <c r="L91" s="221">
        <f>G91-F91</f>
        <v>-39</v>
      </c>
    </row>
    <row r="92" spans="1:12" s="36" customFormat="1" ht="13.5" hidden="1" customHeight="1" x14ac:dyDescent="0.2">
      <c r="A92" s="14"/>
      <c r="B92" s="32" t="s">
        <v>133</v>
      </c>
      <c r="C92" s="148"/>
      <c r="D92" s="148"/>
      <c r="E92" s="148"/>
      <c r="F92" s="148"/>
      <c r="G92" s="148"/>
      <c r="H92" s="175">
        <f>G92/$G$223</f>
        <v>0</v>
      </c>
      <c r="I92" s="170" t="e">
        <f>G92/E92</f>
        <v>#DIV/0!</v>
      </c>
      <c r="J92" s="218">
        <f>G92-D92</f>
        <v>0</v>
      </c>
      <c r="K92" s="222" t="e">
        <f>G92/D92</f>
        <v>#DIV/0!</v>
      </c>
      <c r="L92" s="221">
        <f t="shared" ref="L92:L114" si="51">G92-F92</f>
        <v>0</v>
      </c>
    </row>
    <row r="93" spans="1:12" s="1" customFormat="1" x14ac:dyDescent="0.2">
      <c r="A93" s="3" t="s">
        <v>91</v>
      </c>
      <c r="B93" s="7" t="s">
        <v>92</v>
      </c>
      <c r="C93" s="5">
        <f>C95+C107</f>
        <v>229389.3</v>
      </c>
      <c r="D93" s="5">
        <f>D95+D107</f>
        <v>785282.5</v>
      </c>
      <c r="E93" s="5">
        <f>E95+E107</f>
        <v>406131.1</v>
      </c>
      <c r="F93" s="5">
        <f>F95+F107</f>
        <v>713023.5</v>
      </c>
      <c r="G93" s="5">
        <f>G95+G107</f>
        <v>775745.2</v>
      </c>
      <c r="H93" s="160">
        <f>G93/$G$223</f>
        <v>0.54400000000000004</v>
      </c>
      <c r="I93" s="170">
        <f>G93/E93</f>
        <v>1.91</v>
      </c>
      <c r="J93" s="209">
        <f>G93-D93</f>
        <v>-9537.2999999999993</v>
      </c>
      <c r="K93" s="210">
        <f>G93/D93</f>
        <v>0.98799999999999999</v>
      </c>
      <c r="L93" s="221">
        <f t="shared" si="51"/>
        <v>62721.7</v>
      </c>
    </row>
    <row r="94" spans="1:12" s="1" customFormat="1" x14ac:dyDescent="0.2">
      <c r="A94" s="3"/>
      <c r="B94" s="6" t="s">
        <v>178</v>
      </c>
      <c r="C94" s="5"/>
      <c r="D94" s="5"/>
      <c r="E94" s="167"/>
      <c r="F94" s="167"/>
      <c r="G94" s="167"/>
      <c r="H94" s="160"/>
      <c r="I94" s="170"/>
      <c r="J94" s="209"/>
      <c r="K94" s="210"/>
      <c r="L94" s="221"/>
    </row>
    <row r="95" spans="1:12" s="1" customFormat="1" ht="27" x14ac:dyDescent="0.2">
      <c r="A95" s="3"/>
      <c r="B95" s="7" t="s">
        <v>185</v>
      </c>
      <c r="C95" s="5">
        <f>183482.7+23304.3</f>
        <v>206787</v>
      </c>
      <c r="D95" s="5">
        <f>126739.7+D101</f>
        <v>284951.90000000002</v>
      </c>
      <c r="E95" s="5">
        <v>160744.20000000001</v>
      </c>
      <c r="F95" s="5">
        <v>243984.2</v>
      </c>
      <c r="G95" s="5">
        <f>126671.4+G101</f>
        <v>281634</v>
      </c>
      <c r="H95" s="160">
        <f>G95/$G$223</f>
        <v>0.19700000000000001</v>
      </c>
      <c r="I95" s="170">
        <f>G95/E95</f>
        <v>1.752</v>
      </c>
      <c r="J95" s="209">
        <f>G95-D95</f>
        <v>-3317.9</v>
      </c>
      <c r="K95" s="210">
        <f>G95/D95</f>
        <v>0.98799999999999999</v>
      </c>
      <c r="L95" s="221">
        <f>G95-F95</f>
        <v>37649.800000000003</v>
      </c>
    </row>
    <row r="96" spans="1:12" s="1" customFormat="1" ht="67.5" hidden="1" customHeight="1" x14ac:dyDescent="0.2">
      <c r="A96" s="3"/>
      <c r="B96" s="7" t="s">
        <v>118</v>
      </c>
      <c r="C96" s="5"/>
      <c r="D96" s="140"/>
      <c r="E96" s="5">
        <v>0</v>
      </c>
      <c r="F96" s="5">
        <v>0</v>
      </c>
      <c r="G96" s="140">
        <v>0</v>
      </c>
      <c r="H96" s="160">
        <f>G96/$G$223</f>
        <v>0</v>
      </c>
      <c r="I96" s="170" t="e">
        <f>G96/E96</f>
        <v>#DIV/0!</v>
      </c>
      <c r="J96" s="209">
        <f>G96-D96</f>
        <v>0</v>
      </c>
      <c r="K96" s="210" t="e">
        <f>G96/D96</f>
        <v>#DIV/0!</v>
      </c>
      <c r="L96" s="221">
        <f t="shared" si="51"/>
        <v>0</v>
      </c>
    </row>
    <row r="97" spans="1:12" s="1" customFormat="1" ht="54" hidden="1" customHeight="1" x14ac:dyDescent="0.2">
      <c r="A97" s="3"/>
      <c r="B97" s="7" t="s">
        <v>119</v>
      </c>
      <c r="C97" s="5"/>
      <c r="D97" s="140"/>
      <c r="E97" s="5">
        <v>0</v>
      </c>
      <c r="F97" s="5">
        <v>0</v>
      </c>
      <c r="G97" s="140">
        <v>0</v>
      </c>
      <c r="H97" s="160">
        <f>G97/$G$223</f>
        <v>0</v>
      </c>
      <c r="I97" s="170" t="e">
        <f>G97/E97</f>
        <v>#DIV/0!</v>
      </c>
      <c r="J97" s="209">
        <f>G97-D97</f>
        <v>0</v>
      </c>
      <c r="K97" s="210" t="e">
        <f>G97/D97</f>
        <v>#DIV/0!</v>
      </c>
      <c r="L97" s="221">
        <f t="shared" si="51"/>
        <v>0</v>
      </c>
    </row>
    <row r="98" spans="1:12" s="1" customFormat="1" ht="40.5" hidden="1" customHeight="1" x14ac:dyDescent="0.2">
      <c r="A98" s="3"/>
      <c r="B98" s="7" t="s">
        <v>93</v>
      </c>
      <c r="C98" s="5"/>
      <c r="D98" s="140"/>
      <c r="E98" s="5">
        <v>0</v>
      </c>
      <c r="F98" s="5">
        <v>0</v>
      </c>
      <c r="G98" s="140">
        <v>0</v>
      </c>
      <c r="H98" s="160">
        <f>G98/$G$223</f>
        <v>0</v>
      </c>
      <c r="I98" s="170" t="e">
        <f>G98/E98</f>
        <v>#DIV/0!</v>
      </c>
      <c r="J98" s="209">
        <f>G98-D98</f>
        <v>0</v>
      </c>
      <c r="K98" s="210" t="e">
        <f>G98/D98</f>
        <v>#DIV/0!</v>
      </c>
      <c r="L98" s="221">
        <f t="shared" si="51"/>
        <v>0</v>
      </c>
    </row>
    <row r="99" spans="1:12" s="36" customFormat="1" ht="13.5" hidden="1" customHeight="1" x14ac:dyDescent="0.2">
      <c r="A99" s="14"/>
      <c r="B99" s="32" t="s">
        <v>133</v>
      </c>
      <c r="C99" s="148"/>
      <c r="D99" s="141"/>
      <c r="E99" s="148">
        <v>0</v>
      </c>
      <c r="F99" s="148">
        <v>0</v>
      </c>
      <c r="G99" s="141">
        <v>0</v>
      </c>
      <c r="H99" s="160">
        <f>G99/$G$223</f>
        <v>0</v>
      </c>
      <c r="I99" s="170" t="e">
        <f>G99/E99</f>
        <v>#DIV/0!</v>
      </c>
      <c r="J99" s="209">
        <f>G99-D99</f>
        <v>0</v>
      </c>
      <c r="K99" s="210" t="e">
        <f>G99/D99</f>
        <v>#DIV/0!</v>
      </c>
      <c r="L99" s="221">
        <f t="shared" si="51"/>
        <v>0</v>
      </c>
    </row>
    <row r="100" spans="1:12" s="36" customFormat="1" ht="13.5" customHeight="1" x14ac:dyDescent="0.2">
      <c r="A100" s="14"/>
      <c r="B100" s="134" t="s">
        <v>178</v>
      </c>
      <c r="C100" s="148"/>
      <c r="D100" s="148"/>
      <c r="E100" s="148"/>
      <c r="F100" s="148"/>
      <c r="G100" s="148"/>
      <c r="H100" s="160"/>
      <c r="I100" s="170"/>
      <c r="J100" s="209"/>
      <c r="K100" s="210"/>
      <c r="L100" s="221"/>
    </row>
    <row r="101" spans="1:12" s="36" customFormat="1" ht="71.25" customHeight="1" x14ac:dyDescent="0.2">
      <c r="A101" s="14"/>
      <c r="B101" s="135" t="s">
        <v>266</v>
      </c>
      <c r="C101" s="148">
        <f>SUM(C102:C106)</f>
        <v>23304.3</v>
      </c>
      <c r="D101" s="148">
        <f>SUM(D102:D106)</f>
        <v>158212.20000000001</v>
      </c>
      <c r="E101" s="148">
        <f t="shared" ref="E101:G101" si="52">SUM(E102:E106)</f>
        <v>30418.3</v>
      </c>
      <c r="F101" s="148">
        <f t="shared" si="52"/>
        <v>220795</v>
      </c>
      <c r="G101" s="148">
        <f t="shared" si="52"/>
        <v>154962.6</v>
      </c>
      <c r="H101" s="160">
        <f t="shared" ref="H101:H107" si="53">G101/$G$223</f>
        <v>0.109</v>
      </c>
      <c r="I101" s="170">
        <f>G101/E101</f>
        <v>5.0940000000000003</v>
      </c>
      <c r="J101" s="209">
        <f t="shared" ref="J101:J107" si="54">G101-D101</f>
        <v>-3249.6</v>
      </c>
      <c r="K101" s="210">
        <f t="shared" ref="K101:K107" si="55">G101/D101</f>
        <v>0.97899999999999998</v>
      </c>
      <c r="L101" s="221">
        <f t="shared" si="51"/>
        <v>-65832.399999999994</v>
      </c>
    </row>
    <row r="102" spans="1:12" s="36" customFormat="1" ht="13.5" customHeight="1" x14ac:dyDescent="0.2">
      <c r="A102" s="88"/>
      <c r="B102" s="89" t="s">
        <v>97</v>
      </c>
      <c r="C102" s="102">
        <v>23304.3</v>
      </c>
      <c r="D102" s="102">
        <f>42340.1+20251.8</f>
        <v>62591.9</v>
      </c>
      <c r="E102" s="102">
        <v>20251.7</v>
      </c>
      <c r="F102" s="102">
        <v>113669.5</v>
      </c>
      <c r="G102" s="102">
        <f>20251.7+39090.6</f>
        <v>59342.3</v>
      </c>
      <c r="H102" s="161">
        <f t="shared" si="53"/>
        <v>4.2000000000000003E-2</v>
      </c>
      <c r="I102" s="170">
        <f>G102/E102</f>
        <v>2.93</v>
      </c>
      <c r="J102" s="209">
        <f t="shared" si="54"/>
        <v>-3249.6</v>
      </c>
      <c r="K102" s="210">
        <f t="shared" si="55"/>
        <v>0.94799999999999995</v>
      </c>
      <c r="L102" s="221">
        <f t="shared" si="51"/>
        <v>-54327.199999999997</v>
      </c>
    </row>
    <row r="103" spans="1:12" s="36" customFormat="1" ht="13.5" customHeight="1" x14ac:dyDescent="0.2">
      <c r="A103" s="88"/>
      <c r="B103" s="89" t="s">
        <v>163</v>
      </c>
      <c r="C103" s="102">
        <v>0</v>
      </c>
      <c r="D103" s="102">
        <v>58.3</v>
      </c>
      <c r="E103" s="102"/>
      <c r="F103" s="102">
        <v>0</v>
      </c>
      <c r="G103" s="102">
        <v>58.3</v>
      </c>
      <c r="H103" s="161">
        <f t="shared" si="53"/>
        <v>0</v>
      </c>
      <c r="I103" s="170"/>
      <c r="J103" s="209">
        <f t="shared" si="54"/>
        <v>0</v>
      </c>
      <c r="K103" s="210">
        <f t="shared" si="55"/>
        <v>1</v>
      </c>
      <c r="L103" s="221">
        <f t="shared" si="51"/>
        <v>58.3</v>
      </c>
    </row>
    <row r="104" spans="1:12" s="36" customFormat="1" ht="13.5" customHeight="1" x14ac:dyDescent="0.2">
      <c r="A104" s="88"/>
      <c r="B104" s="89" t="s">
        <v>100</v>
      </c>
      <c r="C104" s="102">
        <v>0</v>
      </c>
      <c r="D104" s="102">
        <f>1241.9+263.2</f>
        <v>1505.1</v>
      </c>
      <c r="E104" s="102">
        <v>263.2</v>
      </c>
      <c r="F104" s="102">
        <v>3704.1</v>
      </c>
      <c r="G104" s="102">
        <v>1505.1</v>
      </c>
      <c r="H104" s="161">
        <f t="shared" si="53"/>
        <v>1E-3</v>
      </c>
      <c r="I104" s="170">
        <f>G104/E104</f>
        <v>5.718</v>
      </c>
      <c r="J104" s="209">
        <f t="shared" si="54"/>
        <v>0</v>
      </c>
      <c r="K104" s="210">
        <f t="shared" si="55"/>
        <v>1</v>
      </c>
      <c r="L104" s="221">
        <f t="shared" si="51"/>
        <v>-2199</v>
      </c>
    </row>
    <row r="105" spans="1:12" s="36" customFormat="1" ht="13.5" customHeight="1" x14ac:dyDescent="0.2">
      <c r="A105" s="88"/>
      <c r="B105" s="89" t="s">
        <v>161</v>
      </c>
      <c r="C105" s="102">
        <v>0</v>
      </c>
      <c r="D105" s="102">
        <f>1481.4+71.5</f>
        <v>1552.9</v>
      </c>
      <c r="E105" s="102">
        <v>71.5</v>
      </c>
      <c r="F105" s="102">
        <v>900</v>
      </c>
      <c r="G105" s="102">
        <f>71.5+1481.4</f>
        <v>1552.9</v>
      </c>
      <c r="H105" s="161">
        <f t="shared" si="53"/>
        <v>1E-3</v>
      </c>
      <c r="I105" s="170">
        <v>0</v>
      </c>
      <c r="J105" s="209">
        <f t="shared" si="54"/>
        <v>0</v>
      </c>
      <c r="K105" s="210">
        <f t="shared" si="55"/>
        <v>1</v>
      </c>
      <c r="L105" s="221">
        <f t="shared" si="51"/>
        <v>652.9</v>
      </c>
    </row>
    <row r="106" spans="1:12" s="36" customFormat="1" ht="13.5" customHeight="1" x14ac:dyDescent="0.2">
      <c r="A106" s="88"/>
      <c r="B106" s="89" t="s">
        <v>162</v>
      </c>
      <c r="C106" s="102">
        <v>0</v>
      </c>
      <c r="D106" s="102">
        <f>9831.9+82672.1</f>
        <v>92504</v>
      </c>
      <c r="E106" s="102">
        <v>9831.9</v>
      </c>
      <c r="F106" s="102">
        <v>102521.4</v>
      </c>
      <c r="G106" s="102">
        <f>9831.9+82672.1</f>
        <v>92504</v>
      </c>
      <c r="H106" s="161">
        <f t="shared" si="53"/>
        <v>6.5000000000000002E-2</v>
      </c>
      <c r="I106" s="170">
        <f>G106/E106</f>
        <v>9.4090000000000007</v>
      </c>
      <c r="J106" s="209">
        <f t="shared" si="54"/>
        <v>0</v>
      </c>
      <c r="K106" s="210">
        <f t="shared" si="55"/>
        <v>1</v>
      </c>
      <c r="L106" s="221">
        <f t="shared" si="51"/>
        <v>-10017.4</v>
      </c>
    </row>
    <row r="107" spans="1:12" s="1" customFormat="1" ht="27" x14ac:dyDescent="0.2">
      <c r="A107" s="121" t="s">
        <v>235</v>
      </c>
      <c r="B107" s="7" t="s">
        <v>233</v>
      </c>
      <c r="C107" s="5">
        <v>22602.3</v>
      </c>
      <c r="D107" s="5">
        <v>500330.6</v>
      </c>
      <c r="E107" s="5">
        <v>245386.9</v>
      </c>
      <c r="F107" s="5">
        <f>464649.4+4389.9</f>
        <v>469039.3</v>
      </c>
      <c r="G107" s="5">
        <v>494111.2</v>
      </c>
      <c r="H107" s="160">
        <f t="shared" si="53"/>
        <v>0.34599999999999997</v>
      </c>
      <c r="I107" s="170">
        <f t="shared" ref="I107:I116" si="56">G107/E107</f>
        <v>2.0139999999999998</v>
      </c>
      <c r="J107" s="209">
        <f t="shared" si="54"/>
        <v>-6219.4</v>
      </c>
      <c r="K107" s="210">
        <f t="shared" si="55"/>
        <v>0.98799999999999999</v>
      </c>
      <c r="L107" s="221">
        <f t="shared" si="51"/>
        <v>25071.9</v>
      </c>
    </row>
    <row r="108" spans="1:12" s="1" customFormat="1" ht="15" hidden="1" customHeight="1" x14ac:dyDescent="0.2">
      <c r="A108" s="121"/>
      <c r="B108" s="7" t="s">
        <v>178</v>
      </c>
      <c r="C108" s="5"/>
      <c r="D108" s="5"/>
      <c r="E108" s="5"/>
      <c r="F108" s="5"/>
      <c r="G108" s="5"/>
      <c r="H108" s="160"/>
      <c r="I108" s="170">
        <v>0</v>
      </c>
      <c r="J108" s="209"/>
      <c r="K108" s="210"/>
      <c r="L108" s="221">
        <f t="shared" si="51"/>
        <v>0</v>
      </c>
    </row>
    <row r="109" spans="1:12" s="1" customFormat="1" ht="40.5" hidden="1" x14ac:dyDescent="0.2">
      <c r="A109" s="121" t="s">
        <v>231</v>
      </c>
      <c r="B109" s="190" t="s">
        <v>232</v>
      </c>
      <c r="C109" s="5">
        <v>0</v>
      </c>
      <c r="D109" s="140">
        <v>372480</v>
      </c>
      <c r="E109" s="5">
        <v>54256</v>
      </c>
      <c r="F109" s="5">
        <v>404139.1</v>
      </c>
      <c r="G109" s="5">
        <v>54256</v>
      </c>
      <c r="H109" s="160">
        <f>G109/$G$223</f>
        <v>3.7999999999999999E-2</v>
      </c>
      <c r="I109" s="170">
        <f t="shared" si="56"/>
        <v>1</v>
      </c>
      <c r="J109" s="209">
        <f>G109-D109</f>
        <v>-318224</v>
      </c>
      <c r="K109" s="210">
        <f t="shared" ref="K109" si="57">G109/D109</f>
        <v>0.14599999999999999</v>
      </c>
      <c r="L109" s="221">
        <f t="shared" si="51"/>
        <v>-349883.1</v>
      </c>
    </row>
    <row r="110" spans="1:12" s="1" customFormat="1" x14ac:dyDescent="0.2">
      <c r="A110" s="3" t="s">
        <v>139</v>
      </c>
      <c r="B110" s="7" t="s">
        <v>127</v>
      </c>
      <c r="C110" s="5">
        <f>C112+C114</f>
        <v>7407.9</v>
      </c>
      <c r="D110" s="5">
        <f>D112+D114</f>
        <v>3814.3</v>
      </c>
      <c r="E110" s="5">
        <f t="shared" ref="E110" si="58">E112+E114</f>
        <v>2279.6</v>
      </c>
      <c r="F110" s="5">
        <f t="shared" ref="F110:G110" si="59">F112+F114</f>
        <v>5205.1000000000004</v>
      </c>
      <c r="G110" s="5">
        <f t="shared" si="59"/>
        <v>3746.3</v>
      </c>
      <c r="H110" s="160">
        <f>G110/$G$223</f>
        <v>3.0000000000000001E-3</v>
      </c>
      <c r="I110" s="170">
        <f t="shared" si="56"/>
        <v>1.643</v>
      </c>
      <c r="J110" s="209">
        <f>G110-D110</f>
        <v>-68</v>
      </c>
      <c r="K110" s="210">
        <f>G110/D110</f>
        <v>0.98199999999999998</v>
      </c>
      <c r="L110" s="221">
        <f t="shared" si="51"/>
        <v>-1458.8</v>
      </c>
    </row>
    <row r="111" spans="1:12" s="1" customFormat="1" x14ac:dyDescent="0.2">
      <c r="A111" s="3"/>
      <c r="B111" s="6" t="s">
        <v>27</v>
      </c>
      <c r="C111" s="5"/>
      <c r="D111" s="5"/>
      <c r="E111" s="5"/>
      <c r="F111" s="5"/>
      <c r="G111" s="5"/>
      <c r="H111" s="160"/>
      <c r="I111" s="170">
        <v>0</v>
      </c>
      <c r="J111" s="209"/>
      <c r="K111" s="210"/>
      <c r="L111" s="221">
        <f t="shared" si="51"/>
        <v>0</v>
      </c>
    </row>
    <row r="112" spans="1:12" s="36" customFormat="1" ht="40.5" x14ac:dyDescent="0.2">
      <c r="A112" s="14" t="s">
        <v>203</v>
      </c>
      <c r="B112" s="32" t="s">
        <v>140</v>
      </c>
      <c r="C112" s="148">
        <v>2407.9</v>
      </c>
      <c r="D112" s="148">
        <v>1926.5</v>
      </c>
      <c r="E112" s="148">
        <v>1370</v>
      </c>
      <c r="F112" s="148">
        <v>1975</v>
      </c>
      <c r="G112" s="148">
        <v>1858.5</v>
      </c>
      <c r="H112" s="175">
        <f>G112/$G$223</f>
        <v>1E-3</v>
      </c>
      <c r="I112" s="170">
        <f t="shared" si="56"/>
        <v>1.357</v>
      </c>
      <c r="J112" s="218">
        <f>G112-D112</f>
        <v>-68</v>
      </c>
      <c r="K112" s="222">
        <f>G112/D112</f>
        <v>0.96499999999999997</v>
      </c>
      <c r="L112" s="221">
        <f t="shared" si="51"/>
        <v>-116.5</v>
      </c>
    </row>
    <row r="113" spans="1:12" s="36" customFormat="1" ht="54" hidden="1" customHeight="1" x14ac:dyDescent="0.2">
      <c r="A113" s="14"/>
      <c r="B113" s="32" t="s">
        <v>140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  <c r="H113" s="175">
        <f>G113/$G$223</f>
        <v>0</v>
      </c>
      <c r="I113" s="170" t="e">
        <f t="shared" si="56"/>
        <v>#DIV/0!</v>
      </c>
      <c r="J113" s="218">
        <f>G113-D113</f>
        <v>0</v>
      </c>
      <c r="K113" s="222" t="e">
        <f>G113/D113</f>
        <v>#DIV/0!</v>
      </c>
      <c r="L113" s="221">
        <f t="shared" si="51"/>
        <v>0</v>
      </c>
    </row>
    <row r="114" spans="1:12" s="36" customFormat="1" ht="23.25" customHeight="1" x14ac:dyDescent="0.2">
      <c r="A114" s="14" t="s">
        <v>223</v>
      </c>
      <c r="B114" s="32" t="s">
        <v>182</v>
      </c>
      <c r="C114" s="148">
        <v>5000</v>
      </c>
      <c r="D114" s="148">
        <v>1887.8</v>
      </c>
      <c r="E114" s="148">
        <v>909.6</v>
      </c>
      <c r="F114" s="148">
        <v>3230.1</v>
      </c>
      <c r="G114" s="148">
        <v>1887.8</v>
      </c>
      <c r="H114" s="175">
        <f>G114/$G$223</f>
        <v>1E-3</v>
      </c>
      <c r="I114" s="170">
        <f t="shared" si="56"/>
        <v>2.0750000000000002</v>
      </c>
      <c r="J114" s="218">
        <f>G114-D114</f>
        <v>0</v>
      </c>
      <c r="K114" s="222">
        <f>G114/D114</f>
        <v>1</v>
      </c>
      <c r="L114" s="221">
        <f t="shared" si="51"/>
        <v>-1342.3</v>
      </c>
    </row>
    <row r="115" spans="1:12" s="1" customFormat="1" x14ac:dyDescent="0.2">
      <c r="A115" s="3"/>
      <c r="B115" s="240" t="s">
        <v>122</v>
      </c>
      <c r="C115" s="5"/>
      <c r="D115" s="5"/>
      <c r="E115" s="5"/>
      <c r="F115" s="5"/>
      <c r="G115" s="5"/>
      <c r="H115" s="160"/>
      <c r="I115" s="170">
        <v>0</v>
      </c>
      <c r="J115" s="209"/>
      <c r="K115" s="210"/>
      <c r="L115" s="221"/>
    </row>
    <row r="116" spans="1:12" s="1" customFormat="1" x14ac:dyDescent="0.2">
      <c r="A116" s="3"/>
      <c r="B116" s="17" t="s">
        <v>141</v>
      </c>
      <c r="C116" s="5">
        <v>261797.2</v>
      </c>
      <c r="D116" s="5">
        <v>809902.5</v>
      </c>
      <c r="E116" s="5">
        <v>428552</v>
      </c>
      <c r="F116" s="5">
        <v>711113.8</v>
      </c>
      <c r="G116" s="5">
        <v>800297.3</v>
      </c>
      <c r="H116" s="160">
        <f>G116/$G$223</f>
        <v>0.56100000000000005</v>
      </c>
      <c r="I116" s="170">
        <f t="shared" si="56"/>
        <v>1.867</v>
      </c>
      <c r="J116" s="209">
        <f>G116-D116</f>
        <v>-9605.2000000000007</v>
      </c>
      <c r="K116" s="210">
        <f>G116/D116</f>
        <v>0.98799999999999999</v>
      </c>
      <c r="L116" s="221">
        <f>G116-F116</f>
        <v>89183.5</v>
      </c>
    </row>
    <row r="117" spans="1:12" s="23" customFormat="1" x14ac:dyDescent="0.2">
      <c r="A117" s="69" t="s">
        <v>22</v>
      </c>
      <c r="B117" s="74" t="s">
        <v>8</v>
      </c>
      <c r="C117" s="72">
        <f>C118+C136+C154+C133</f>
        <v>143433.4</v>
      </c>
      <c r="D117" s="72">
        <f>D118+D136+D154+D133</f>
        <v>254053.9</v>
      </c>
      <c r="E117" s="72">
        <f>E118+E136+E154</f>
        <v>155364.79999999999</v>
      </c>
      <c r="F117" s="72">
        <f>F118+F136+F154</f>
        <v>204384.2</v>
      </c>
      <c r="G117" s="72">
        <f>G118+G136+G154</f>
        <v>248864.8</v>
      </c>
      <c r="H117" s="71">
        <f>G117/$G$223</f>
        <v>0.17399999999999999</v>
      </c>
      <c r="I117" s="170">
        <f>G117/E117</f>
        <v>1.6020000000000001</v>
      </c>
      <c r="J117" s="171">
        <f>G117-D117</f>
        <v>-5189.1000000000004</v>
      </c>
      <c r="K117" s="170">
        <f>G117/D117</f>
        <v>0.98</v>
      </c>
      <c r="L117" s="172">
        <f>G117-F117</f>
        <v>44480.6</v>
      </c>
    </row>
    <row r="118" spans="1:12" x14ac:dyDescent="0.2">
      <c r="A118" s="14" t="s">
        <v>55</v>
      </c>
      <c r="B118" s="31" t="s">
        <v>67</v>
      </c>
      <c r="C118" s="148">
        <f>C120+C123+C122+C124+C125+C131+C132</f>
        <v>10137.9</v>
      </c>
      <c r="D118" s="148">
        <f t="shared" ref="D118:F118" si="60">D120+D123+D122+D124+D125+D131+D132</f>
        <v>11634.8</v>
      </c>
      <c r="E118" s="148">
        <f t="shared" si="60"/>
        <v>6809.9</v>
      </c>
      <c r="F118" s="148">
        <f t="shared" si="60"/>
        <v>27250.400000000001</v>
      </c>
      <c r="G118" s="148">
        <f>G120+G123+G122+G124+G125+G131+G132</f>
        <v>11138.9</v>
      </c>
      <c r="H118" s="160">
        <f>G118/$G$223</f>
        <v>8.0000000000000002E-3</v>
      </c>
      <c r="I118" s="170">
        <f>G118/E118</f>
        <v>1.6359999999999999</v>
      </c>
      <c r="J118" s="209">
        <f>G118-D118</f>
        <v>-495.9</v>
      </c>
      <c r="K118" s="210">
        <f>G118/D118</f>
        <v>0.95699999999999996</v>
      </c>
      <c r="L118" s="221">
        <f>G118-F118</f>
        <v>-16111.5</v>
      </c>
    </row>
    <row r="119" spans="1:12" x14ac:dyDescent="0.2">
      <c r="A119" s="14"/>
      <c r="B119" s="31" t="s">
        <v>178</v>
      </c>
      <c r="C119" s="149"/>
      <c r="D119" s="149"/>
      <c r="E119" s="149"/>
      <c r="F119" s="149"/>
      <c r="G119" s="149"/>
      <c r="H119" s="168"/>
      <c r="I119" s="170"/>
      <c r="J119" s="209"/>
      <c r="K119" s="210"/>
      <c r="L119" s="221"/>
    </row>
    <row r="120" spans="1:12" ht="40.5" x14ac:dyDescent="0.2">
      <c r="A120" s="183" t="s">
        <v>255</v>
      </c>
      <c r="B120" s="32" t="s">
        <v>69</v>
      </c>
      <c r="C120" s="148">
        <v>476.3</v>
      </c>
      <c r="D120" s="148">
        <v>476.3</v>
      </c>
      <c r="E120" s="148">
        <v>224.4</v>
      </c>
      <c r="F120" s="148">
        <v>122.5</v>
      </c>
      <c r="G120" s="148">
        <v>224.4</v>
      </c>
      <c r="H120" s="160">
        <f t="shared" ref="H120:H125" si="61">G120/$G$223</f>
        <v>0</v>
      </c>
      <c r="I120" s="170">
        <f t="shared" ref="I120:I121" si="62">G120/E120</f>
        <v>1</v>
      </c>
      <c r="J120" s="209">
        <f t="shared" ref="J120:J125" si="63">G120-D120</f>
        <v>-251.9</v>
      </c>
      <c r="K120" s="210">
        <f t="shared" ref="K120:K146" si="64">G120/D120</f>
        <v>0.47099999999999997</v>
      </c>
      <c r="L120" s="221">
        <f t="shared" ref="L120:L146" si="65">G120-F120</f>
        <v>101.9</v>
      </c>
    </row>
    <row r="121" spans="1:12" ht="27" hidden="1" x14ac:dyDescent="0.2">
      <c r="A121" s="14" t="s">
        <v>204</v>
      </c>
      <c r="B121" s="32" t="s">
        <v>187</v>
      </c>
      <c r="C121" s="148">
        <v>0</v>
      </c>
      <c r="D121" s="141">
        <v>0</v>
      </c>
      <c r="E121" s="148">
        <v>0</v>
      </c>
      <c r="F121" s="148">
        <v>0</v>
      </c>
      <c r="G121" s="141">
        <v>0</v>
      </c>
      <c r="H121" s="160">
        <f t="shared" si="61"/>
        <v>0</v>
      </c>
      <c r="I121" s="170" t="e">
        <f t="shared" si="62"/>
        <v>#DIV/0!</v>
      </c>
      <c r="J121" s="209">
        <f t="shared" si="63"/>
        <v>0</v>
      </c>
      <c r="K121" s="210" t="e">
        <f t="shared" si="64"/>
        <v>#DIV/0!</v>
      </c>
      <c r="L121" s="221">
        <f t="shared" si="65"/>
        <v>0</v>
      </c>
    </row>
    <row r="122" spans="1:12" ht="40.5" x14ac:dyDescent="0.2">
      <c r="A122" s="14" t="s">
        <v>196</v>
      </c>
      <c r="B122" s="32" t="s">
        <v>197</v>
      </c>
      <c r="C122" s="148">
        <v>0</v>
      </c>
      <c r="D122" s="148">
        <v>2433.5</v>
      </c>
      <c r="E122" s="148">
        <v>2399.5</v>
      </c>
      <c r="F122" s="148">
        <v>10558.4</v>
      </c>
      <c r="G122" s="148">
        <v>2433.5</v>
      </c>
      <c r="H122" s="160">
        <f t="shared" si="61"/>
        <v>2E-3</v>
      </c>
      <c r="I122" s="170">
        <f>G122/E122</f>
        <v>1.014</v>
      </c>
      <c r="J122" s="209">
        <f t="shared" si="63"/>
        <v>0</v>
      </c>
      <c r="K122" s="210">
        <f t="shared" si="64"/>
        <v>1</v>
      </c>
      <c r="L122" s="221">
        <f t="shared" si="65"/>
        <v>-8124.9</v>
      </c>
    </row>
    <row r="123" spans="1:12" ht="27" hidden="1" x14ac:dyDescent="0.2">
      <c r="A123" s="183" t="s">
        <v>205</v>
      </c>
      <c r="B123" s="32" t="s">
        <v>142</v>
      </c>
      <c r="C123" s="148">
        <v>0</v>
      </c>
      <c r="D123" s="141">
        <v>0</v>
      </c>
      <c r="E123" s="148">
        <v>0</v>
      </c>
      <c r="F123" s="148">
        <v>0</v>
      </c>
      <c r="G123" s="141">
        <v>0</v>
      </c>
      <c r="H123" s="160">
        <f t="shared" si="61"/>
        <v>0</v>
      </c>
      <c r="I123" s="170">
        <v>0</v>
      </c>
      <c r="J123" s="209">
        <f t="shared" si="63"/>
        <v>0</v>
      </c>
      <c r="K123" s="210">
        <v>0</v>
      </c>
      <c r="L123" s="221">
        <f t="shared" si="65"/>
        <v>0</v>
      </c>
    </row>
    <row r="124" spans="1:12" ht="40.5" x14ac:dyDescent="0.2">
      <c r="A124" s="183" t="s">
        <v>234</v>
      </c>
      <c r="B124" s="32" t="s">
        <v>167</v>
      </c>
      <c r="C124" s="148">
        <v>6732.7</v>
      </c>
      <c r="D124" s="148">
        <v>6716.4</v>
      </c>
      <c r="E124" s="148">
        <v>3947.5</v>
      </c>
      <c r="F124" s="148">
        <v>10907.9</v>
      </c>
      <c r="G124" s="148">
        <v>6472.4</v>
      </c>
      <c r="H124" s="160">
        <f t="shared" si="61"/>
        <v>5.0000000000000001E-3</v>
      </c>
      <c r="I124" s="170">
        <f t="shared" ref="I124:I145" si="66">G124/E124</f>
        <v>1.64</v>
      </c>
      <c r="J124" s="209">
        <f t="shared" si="63"/>
        <v>-244</v>
      </c>
      <c r="K124" s="210">
        <f t="shared" si="64"/>
        <v>0.96399999999999997</v>
      </c>
      <c r="L124" s="221">
        <f t="shared" si="65"/>
        <v>-4435.5</v>
      </c>
    </row>
    <row r="125" spans="1:12" ht="27" x14ac:dyDescent="0.2">
      <c r="A125" s="183" t="s">
        <v>256</v>
      </c>
      <c r="B125" s="32" t="s">
        <v>236</v>
      </c>
      <c r="C125" s="148">
        <v>1928.9</v>
      </c>
      <c r="D125" s="148">
        <v>968.2</v>
      </c>
      <c r="E125" s="148">
        <f>132.6+105.9</f>
        <v>238.5</v>
      </c>
      <c r="F125" s="148">
        <f>976+916.4</f>
        <v>1892.4</v>
      </c>
      <c r="G125" s="148">
        <v>968.2</v>
      </c>
      <c r="H125" s="160">
        <f t="shared" si="61"/>
        <v>1E-3</v>
      </c>
      <c r="I125" s="170">
        <f t="shared" si="66"/>
        <v>4.0599999999999996</v>
      </c>
      <c r="J125" s="209">
        <f t="shared" si="63"/>
        <v>0</v>
      </c>
      <c r="K125" s="210">
        <f t="shared" si="64"/>
        <v>1</v>
      </c>
      <c r="L125" s="221">
        <f t="shared" si="65"/>
        <v>-924.2</v>
      </c>
    </row>
    <row r="126" spans="1:12" x14ac:dyDescent="0.2">
      <c r="A126" s="14"/>
      <c r="B126" s="133" t="s">
        <v>178</v>
      </c>
      <c r="C126" s="148"/>
      <c r="D126" s="148"/>
      <c r="E126" s="148"/>
      <c r="F126" s="148"/>
      <c r="G126" s="148"/>
      <c r="H126" s="168"/>
      <c r="I126" s="170"/>
      <c r="J126" s="209"/>
      <c r="K126" s="210"/>
      <c r="L126" s="221"/>
    </row>
    <row r="127" spans="1:12" ht="27" x14ac:dyDescent="0.2">
      <c r="A127" s="14"/>
      <c r="B127" s="32" t="s">
        <v>266</v>
      </c>
      <c r="C127" s="148">
        <f>SUM(C128:C130)</f>
        <v>0</v>
      </c>
      <c r="D127" s="148">
        <f>SUM(D128:D130)</f>
        <v>523.4</v>
      </c>
      <c r="E127" s="148">
        <f t="shared" ref="E127:G127" si="67">SUM(E128:E130)</f>
        <v>132.6</v>
      </c>
      <c r="F127" s="148">
        <f t="shared" si="67"/>
        <v>916.4</v>
      </c>
      <c r="G127" s="148">
        <f t="shared" si="67"/>
        <v>523.4</v>
      </c>
      <c r="H127" s="160">
        <f>G127/$G$223</f>
        <v>0</v>
      </c>
      <c r="I127" s="170">
        <f t="shared" si="66"/>
        <v>3.9470000000000001</v>
      </c>
      <c r="J127" s="209">
        <f>G127-D127</f>
        <v>0</v>
      </c>
      <c r="K127" s="210">
        <f t="shared" si="64"/>
        <v>1</v>
      </c>
      <c r="L127" s="221">
        <f t="shared" si="65"/>
        <v>-393</v>
      </c>
    </row>
    <row r="128" spans="1:12" x14ac:dyDescent="0.2">
      <c r="A128" s="94"/>
      <c r="B128" s="246" t="s">
        <v>97</v>
      </c>
      <c r="C128" s="102"/>
      <c r="D128" s="102">
        <v>266.10000000000002</v>
      </c>
      <c r="E128" s="102"/>
      <c r="F128" s="102">
        <v>0</v>
      </c>
      <c r="G128" s="102">
        <v>266.10000000000002</v>
      </c>
      <c r="H128" s="161">
        <f t="shared" ref="H128:H129" si="68">G128/$G$223</f>
        <v>0</v>
      </c>
      <c r="I128" s="170"/>
      <c r="J128" s="209">
        <f>G128-D128</f>
        <v>0</v>
      </c>
      <c r="K128" s="210">
        <f t="shared" si="64"/>
        <v>1</v>
      </c>
      <c r="L128" s="221">
        <f t="shared" si="65"/>
        <v>266.10000000000002</v>
      </c>
    </row>
    <row r="129" spans="1:12" x14ac:dyDescent="0.2">
      <c r="A129" s="88"/>
      <c r="B129" s="89" t="s">
        <v>269</v>
      </c>
      <c r="C129" s="102">
        <v>0</v>
      </c>
      <c r="D129" s="102">
        <v>117.1</v>
      </c>
      <c r="E129" s="102">
        <v>120.7</v>
      </c>
      <c r="F129" s="102">
        <v>916.4</v>
      </c>
      <c r="G129" s="102">
        <v>117.1</v>
      </c>
      <c r="H129" s="161">
        <f t="shared" si="68"/>
        <v>0</v>
      </c>
      <c r="I129" s="170">
        <f t="shared" si="66"/>
        <v>0.97</v>
      </c>
      <c r="J129" s="209">
        <f t="shared" ref="J129:J136" si="69">G129-D129</f>
        <v>0</v>
      </c>
      <c r="K129" s="210">
        <f t="shared" si="64"/>
        <v>1</v>
      </c>
      <c r="L129" s="221">
        <f t="shared" si="65"/>
        <v>-799.3</v>
      </c>
    </row>
    <row r="130" spans="1:12" x14ac:dyDescent="0.2">
      <c r="A130" s="88"/>
      <c r="B130" s="89" t="s">
        <v>270</v>
      </c>
      <c r="C130" s="102">
        <v>0</v>
      </c>
      <c r="D130" s="102">
        <v>140.19999999999999</v>
      </c>
      <c r="E130" s="102">
        <v>11.9</v>
      </c>
      <c r="F130" s="102">
        <v>0</v>
      </c>
      <c r="G130" s="102">
        <v>140.19999999999999</v>
      </c>
      <c r="H130" s="161">
        <f>G130/$G$223</f>
        <v>0</v>
      </c>
      <c r="I130" s="170">
        <f t="shared" si="66"/>
        <v>11.782</v>
      </c>
      <c r="J130" s="209">
        <f t="shared" si="69"/>
        <v>0</v>
      </c>
      <c r="K130" s="210">
        <f t="shared" si="64"/>
        <v>1</v>
      </c>
      <c r="L130" s="221">
        <f t="shared" si="65"/>
        <v>140.19999999999999</v>
      </c>
    </row>
    <row r="131" spans="1:12" ht="34.5" customHeight="1" x14ac:dyDescent="0.2">
      <c r="A131" s="183" t="s">
        <v>206</v>
      </c>
      <c r="B131" s="32" t="s">
        <v>281</v>
      </c>
      <c r="C131" s="148">
        <v>1000</v>
      </c>
      <c r="D131" s="148">
        <v>815</v>
      </c>
      <c r="E131" s="148">
        <v>0</v>
      </c>
      <c r="F131" s="148">
        <v>3769.2</v>
      </c>
      <c r="G131" s="148">
        <v>815</v>
      </c>
      <c r="H131" s="168">
        <f>G131/$G$223</f>
        <v>1E-3</v>
      </c>
      <c r="I131" s="170">
        <v>0</v>
      </c>
      <c r="J131" s="209">
        <f t="shared" si="69"/>
        <v>0</v>
      </c>
      <c r="K131" s="210">
        <f t="shared" si="64"/>
        <v>1</v>
      </c>
      <c r="L131" s="221">
        <f t="shared" si="65"/>
        <v>-2954.2</v>
      </c>
    </row>
    <row r="132" spans="1:12" x14ac:dyDescent="0.2">
      <c r="A132" s="14"/>
      <c r="B132" s="32" t="s">
        <v>186</v>
      </c>
      <c r="C132" s="148">
        <v>0</v>
      </c>
      <c r="D132" s="148">
        <v>225.4</v>
      </c>
      <c r="E132" s="148">
        <v>0</v>
      </c>
      <c r="F132" s="148">
        <v>0</v>
      </c>
      <c r="G132" s="148">
        <v>225.4</v>
      </c>
      <c r="H132" s="168">
        <f>G132/$G$223</f>
        <v>0</v>
      </c>
      <c r="I132" s="170" t="e">
        <f t="shared" si="66"/>
        <v>#DIV/0!</v>
      </c>
      <c r="J132" s="209">
        <f t="shared" si="69"/>
        <v>0</v>
      </c>
      <c r="K132" s="210">
        <f t="shared" si="64"/>
        <v>1</v>
      </c>
      <c r="L132" s="221">
        <f t="shared" si="65"/>
        <v>225.4</v>
      </c>
    </row>
    <row r="133" spans="1:12" s="187" customFormat="1" ht="13.5" hidden="1" customHeight="1" x14ac:dyDescent="0.2">
      <c r="A133" s="185" t="s">
        <v>143</v>
      </c>
      <c r="B133" s="188" t="s">
        <v>144</v>
      </c>
      <c r="C133" s="147">
        <v>0</v>
      </c>
      <c r="D133" s="147">
        <v>0</v>
      </c>
      <c r="E133" s="147"/>
      <c r="F133" s="147">
        <v>9.1999999999999993</v>
      </c>
      <c r="G133" s="147">
        <v>9.1999999999999993</v>
      </c>
      <c r="H133" s="168">
        <f>G133/$G$223</f>
        <v>0</v>
      </c>
      <c r="I133" s="170" t="e">
        <f t="shared" si="66"/>
        <v>#DIV/0!</v>
      </c>
      <c r="J133" s="209">
        <f t="shared" si="69"/>
        <v>9.1999999999999993</v>
      </c>
      <c r="K133" s="210" t="e">
        <f t="shared" si="64"/>
        <v>#DIV/0!</v>
      </c>
      <c r="L133" s="221">
        <f t="shared" si="65"/>
        <v>0</v>
      </c>
    </row>
    <row r="134" spans="1:12" ht="13.5" hidden="1" customHeight="1" x14ac:dyDescent="0.2">
      <c r="A134" s="14"/>
      <c r="B134" s="8" t="s">
        <v>27</v>
      </c>
      <c r="C134" s="8"/>
      <c r="D134" s="147"/>
      <c r="E134" s="147"/>
      <c r="F134" s="5"/>
      <c r="G134" s="5"/>
      <c r="H134" s="168"/>
      <c r="I134" s="170" t="e">
        <f t="shared" si="66"/>
        <v>#DIV/0!</v>
      </c>
      <c r="J134" s="209">
        <f t="shared" si="69"/>
        <v>0</v>
      </c>
      <c r="K134" s="210" t="e">
        <f t="shared" si="64"/>
        <v>#DIV/0!</v>
      </c>
      <c r="L134" s="221">
        <f t="shared" si="65"/>
        <v>0</v>
      </c>
    </row>
    <row r="135" spans="1:12" ht="13.5" hidden="1" customHeight="1" x14ac:dyDescent="0.2">
      <c r="A135" s="14"/>
      <c r="B135" s="7" t="s">
        <v>94</v>
      </c>
      <c r="C135" s="147"/>
      <c r="D135" s="147"/>
      <c r="E135" s="147"/>
      <c r="F135" s="5"/>
      <c r="G135" s="5"/>
      <c r="H135" s="168">
        <f>G135/$G$223</f>
        <v>0</v>
      </c>
      <c r="I135" s="170" t="e">
        <f t="shared" si="66"/>
        <v>#DIV/0!</v>
      </c>
      <c r="J135" s="209">
        <f t="shared" si="69"/>
        <v>0</v>
      </c>
      <c r="K135" s="210" t="e">
        <f t="shared" si="64"/>
        <v>#DIV/0!</v>
      </c>
      <c r="L135" s="221">
        <f t="shared" si="65"/>
        <v>0</v>
      </c>
    </row>
    <row r="136" spans="1:12" x14ac:dyDescent="0.2">
      <c r="A136" s="14" t="s">
        <v>42</v>
      </c>
      <c r="B136" s="8" t="s">
        <v>43</v>
      </c>
      <c r="C136" s="147">
        <f>C140+C141+C142+C143+C138+C139</f>
        <v>131932.29999999999</v>
      </c>
      <c r="D136" s="147">
        <f>D140+D141+D142+D143+D138+D139+D151+D152+D153</f>
        <v>241499.3</v>
      </c>
      <c r="E136" s="147">
        <f t="shared" ref="E136:F136" si="70">E140+E141+E142+E143+E138+E139+E151+E152+E153</f>
        <v>147797.1</v>
      </c>
      <c r="F136" s="147">
        <f t="shared" si="70"/>
        <v>175968.8</v>
      </c>
      <c r="G136" s="147">
        <f>G138+G139+G140+G141+G142+G151+G152+G153</f>
        <v>236806.1</v>
      </c>
      <c r="H136" s="168">
        <f>G136/$G$223</f>
        <v>0.16600000000000001</v>
      </c>
      <c r="I136" s="170">
        <f t="shared" si="66"/>
        <v>1.6020000000000001</v>
      </c>
      <c r="J136" s="209">
        <f t="shared" si="69"/>
        <v>-4693.2</v>
      </c>
      <c r="K136" s="210">
        <f t="shared" si="64"/>
        <v>0.98099999999999998</v>
      </c>
      <c r="L136" s="221">
        <f t="shared" si="65"/>
        <v>60837.3</v>
      </c>
    </row>
    <row r="137" spans="1:12" x14ac:dyDescent="0.2">
      <c r="A137" s="14"/>
      <c r="B137" s="8" t="s">
        <v>27</v>
      </c>
      <c r="C137" s="8"/>
      <c r="D137" s="147"/>
      <c r="E137" s="5"/>
      <c r="F137" s="5"/>
      <c r="G137" s="5"/>
      <c r="H137" s="168"/>
      <c r="I137" s="170"/>
      <c r="J137" s="209"/>
      <c r="K137" s="210"/>
      <c r="L137" s="221"/>
    </row>
    <row r="138" spans="1:12" ht="27" x14ac:dyDescent="0.2">
      <c r="A138" s="14" t="s">
        <v>224</v>
      </c>
      <c r="B138" s="32" t="s">
        <v>225</v>
      </c>
      <c r="C138" s="148">
        <v>500</v>
      </c>
      <c r="D138" s="148">
        <v>0</v>
      </c>
      <c r="E138" s="148">
        <v>0</v>
      </c>
      <c r="F138" s="148">
        <v>0</v>
      </c>
      <c r="G138" s="148">
        <v>0</v>
      </c>
      <c r="H138" s="168">
        <f>G138/$G$223</f>
        <v>0</v>
      </c>
      <c r="I138" s="170">
        <v>0</v>
      </c>
      <c r="J138" s="209">
        <f>G138-D138</f>
        <v>0</v>
      </c>
      <c r="K138" s="210">
        <v>0</v>
      </c>
      <c r="L138" s="221">
        <f>G138-F138</f>
        <v>0</v>
      </c>
    </row>
    <row r="139" spans="1:12" ht="67.5" x14ac:dyDescent="0.2">
      <c r="A139" s="183" t="s">
        <v>279</v>
      </c>
      <c r="B139" s="8" t="s">
        <v>265</v>
      </c>
      <c r="C139" s="147">
        <v>8918.6</v>
      </c>
      <c r="D139" s="147">
        <v>93702.6</v>
      </c>
      <c r="E139" s="5">
        <v>68256.899999999994</v>
      </c>
      <c r="F139" s="5">
        <f>62511.6+10354.7</f>
        <v>72866.3</v>
      </c>
      <c r="G139" s="5">
        <v>93702.6</v>
      </c>
      <c r="H139" s="160">
        <f>G139/$G$223</f>
        <v>6.6000000000000003E-2</v>
      </c>
      <c r="I139" s="170">
        <v>0</v>
      </c>
      <c r="J139" s="209">
        <f t="shared" ref="J139:J146" si="71">G139-D139</f>
        <v>0</v>
      </c>
      <c r="K139" s="210">
        <f t="shared" si="64"/>
        <v>1</v>
      </c>
      <c r="L139" s="221">
        <f t="shared" si="65"/>
        <v>20836.3</v>
      </c>
    </row>
    <row r="140" spans="1:12" x14ac:dyDescent="0.2">
      <c r="A140" s="14" t="s">
        <v>191</v>
      </c>
      <c r="B140" s="7" t="s">
        <v>94</v>
      </c>
      <c r="C140" s="147">
        <v>67699.199999999997</v>
      </c>
      <c r="D140" s="147">
        <v>93689.2</v>
      </c>
      <c r="E140" s="5">
        <v>53311.7</v>
      </c>
      <c r="F140" s="5">
        <v>72177.7</v>
      </c>
      <c r="G140" s="5">
        <f>89431.6+0.1</f>
        <v>89431.7</v>
      </c>
      <c r="H140" s="160">
        <f>G140/$G$223</f>
        <v>6.3E-2</v>
      </c>
      <c r="I140" s="170">
        <f t="shared" si="66"/>
        <v>1.6779999999999999</v>
      </c>
      <c r="J140" s="209">
        <f t="shared" si="71"/>
        <v>-4257.5</v>
      </c>
      <c r="K140" s="210">
        <f t="shared" si="64"/>
        <v>0.95499999999999996</v>
      </c>
      <c r="L140" s="221">
        <f t="shared" si="65"/>
        <v>17254</v>
      </c>
    </row>
    <row r="141" spans="1:12" ht="27" x14ac:dyDescent="0.2">
      <c r="A141" s="183" t="s">
        <v>207</v>
      </c>
      <c r="B141" s="7" t="s">
        <v>280</v>
      </c>
      <c r="C141" s="147">
        <v>9638.6</v>
      </c>
      <c r="D141" s="147">
        <v>12073.5</v>
      </c>
      <c r="E141" s="5">
        <v>2391.5</v>
      </c>
      <c r="F141" s="5">
        <v>8303.1</v>
      </c>
      <c r="G141" s="5">
        <v>12073.5</v>
      </c>
      <c r="H141" s="160">
        <f>G141/$G$223</f>
        <v>8.0000000000000002E-3</v>
      </c>
      <c r="I141" s="170">
        <f t="shared" si="66"/>
        <v>5.0490000000000004</v>
      </c>
      <c r="J141" s="209">
        <f t="shared" si="71"/>
        <v>0</v>
      </c>
      <c r="K141" s="210">
        <f t="shared" si="64"/>
        <v>1</v>
      </c>
      <c r="L141" s="221">
        <f t="shared" si="65"/>
        <v>3770.4</v>
      </c>
    </row>
    <row r="142" spans="1:12" ht="27" x14ac:dyDescent="0.2">
      <c r="A142" s="14" t="s">
        <v>237</v>
      </c>
      <c r="B142" s="7" t="s">
        <v>226</v>
      </c>
      <c r="C142" s="147">
        <f>39252.1+5923.8</f>
        <v>45175.9</v>
      </c>
      <c r="D142" s="147">
        <f>37590.9+3006.6</f>
        <v>40597.5</v>
      </c>
      <c r="E142" s="5">
        <v>20307.5</v>
      </c>
      <c r="F142" s="5">
        <f>F145</f>
        <v>19921.900000000001</v>
      </c>
      <c r="G142" s="5">
        <f>37155.3+3006.5</f>
        <v>40161.800000000003</v>
      </c>
      <c r="H142" s="168">
        <f>G142/$G$223</f>
        <v>2.8000000000000001E-2</v>
      </c>
      <c r="I142" s="170">
        <f t="shared" si="66"/>
        <v>1.978</v>
      </c>
      <c r="J142" s="209">
        <f t="shared" si="71"/>
        <v>-435.7</v>
      </c>
      <c r="K142" s="210">
        <f t="shared" si="64"/>
        <v>0.98899999999999999</v>
      </c>
      <c r="L142" s="221">
        <f t="shared" si="65"/>
        <v>20239.900000000001</v>
      </c>
    </row>
    <row r="143" spans="1:12" s="187" customFormat="1" ht="27" hidden="1" customHeight="1" x14ac:dyDescent="0.2">
      <c r="A143" s="185"/>
      <c r="B143" s="186" t="s">
        <v>179</v>
      </c>
      <c r="C143" s="147">
        <v>0</v>
      </c>
      <c r="D143" s="147">
        <v>0</v>
      </c>
      <c r="E143" s="140">
        <v>2729.5</v>
      </c>
      <c r="F143" s="140">
        <v>0</v>
      </c>
      <c r="G143" s="140">
        <v>2729.5</v>
      </c>
      <c r="H143" s="144">
        <v>0</v>
      </c>
      <c r="I143" s="170">
        <f t="shared" si="66"/>
        <v>1</v>
      </c>
      <c r="J143" s="209">
        <v>0</v>
      </c>
      <c r="K143" s="210" t="e">
        <f t="shared" si="64"/>
        <v>#DIV/0!</v>
      </c>
      <c r="L143" s="221">
        <f t="shared" si="65"/>
        <v>2729.5</v>
      </c>
    </row>
    <row r="144" spans="1:12" ht="12.75" customHeight="1" x14ac:dyDescent="0.2">
      <c r="A144" s="14"/>
      <c r="B144" s="7" t="s">
        <v>27</v>
      </c>
      <c r="C144" s="147"/>
      <c r="D144" s="147"/>
      <c r="E144" s="5"/>
      <c r="F144" s="5"/>
      <c r="G144" s="5"/>
      <c r="H144" s="168"/>
      <c r="I144" s="170"/>
      <c r="J144" s="209"/>
      <c r="K144" s="210"/>
      <c r="L144" s="221"/>
    </row>
    <row r="145" spans="1:12" ht="27" x14ac:dyDescent="0.2">
      <c r="A145" s="14"/>
      <c r="B145" s="130" t="s">
        <v>266</v>
      </c>
      <c r="C145" s="147">
        <f>SUM(C146:C150)</f>
        <v>5923.8</v>
      </c>
      <c r="D145" s="147">
        <f t="shared" ref="D145:G145" si="72">SUM(D146:D150)</f>
        <v>16934.2</v>
      </c>
      <c r="E145" s="147">
        <f t="shared" si="72"/>
        <v>7516.3</v>
      </c>
      <c r="F145" s="147">
        <f t="shared" si="72"/>
        <v>19921.900000000001</v>
      </c>
      <c r="G145" s="147">
        <f t="shared" si="72"/>
        <v>16607</v>
      </c>
      <c r="H145" s="168">
        <f t="shared" ref="H145:H156" si="73">G145/$G$223</f>
        <v>1.2E-2</v>
      </c>
      <c r="I145" s="170">
        <f t="shared" si="66"/>
        <v>2.2090000000000001</v>
      </c>
      <c r="J145" s="209">
        <f t="shared" si="71"/>
        <v>-327.2</v>
      </c>
      <c r="K145" s="210">
        <f t="shared" si="64"/>
        <v>0.98099999999999998</v>
      </c>
      <c r="L145" s="221">
        <f t="shared" si="65"/>
        <v>-3314.9</v>
      </c>
    </row>
    <row r="146" spans="1:12" x14ac:dyDescent="0.2">
      <c r="A146" s="94"/>
      <c r="B146" s="247" t="s">
        <v>271</v>
      </c>
      <c r="C146" s="100">
        <v>0</v>
      </c>
      <c r="D146" s="100">
        <v>9240.4</v>
      </c>
      <c r="E146" s="100"/>
      <c r="F146" s="100">
        <v>0</v>
      </c>
      <c r="G146" s="100">
        <v>8913.2000000000007</v>
      </c>
      <c r="H146" s="161">
        <f t="shared" si="73"/>
        <v>6.0000000000000001E-3</v>
      </c>
      <c r="I146" s="210"/>
      <c r="J146" s="209">
        <f t="shared" si="71"/>
        <v>-327.2</v>
      </c>
      <c r="K146" s="210">
        <f t="shared" si="64"/>
        <v>0.96499999999999997</v>
      </c>
      <c r="L146" s="221">
        <f t="shared" si="65"/>
        <v>8913.2000000000007</v>
      </c>
    </row>
    <row r="147" spans="1:12" x14ac:dyDescent="0.2">
      <c r="A147" s="88"/>
      <c r="B147" s="89" t="s">
        <v>269</v>
      </c>
      <c r="C147" s="100">
        <v>5923.8</v>
      </c>
      <c r="D147" s="100">
        <v>647.29999999999995</v>
      </c>
      <c r="E147" s="100">
        <v>3012.6</v>
      </c>
      <c r="F147" s="100">
        <v>12973.3</v>
      </c>
      <c r="G147" s="100">
        <v>647.29999999999995</v>
      </c>
      <c r="H147" s="161">
        <f t="shared" si="73"/>
        <v>0</v>
      </c>
      <c r="I147" s="210">
        <f>G147/E147</f>
        <v>0.215</v>
      </c>
      <c r="J147" s="209">
        <f t="shared" ref="J147:J156" si="74">G147-D147</f>
        <v>0</v>
      </c>
      <c r="K147" s="210">
        <f>G147/D147</f>
        <v>1</v>
      </c>
      <c r="L147" s="221">
        <f>G147-F147</f>
        <v>-12326</v>
      </c>
    </row>
    <row r="148" spans="1:12" x14ac:dyDescent="0.2">
      <c r="A148" s="88"/>
      <c r="B148" s="89" t="s">
        <v>161</v>
      </c>
      <c r="C148" s="100">
        <v>0</v>
      </c>
      <c r="D148" s="100">
        <v>44.5</v>
      </c>
      <c r="E148" s="100">
        <v>163.30000000000001</v>
      </c>
      <c r="F148" s="100">
        <v>172.5</v>
      </c>
      <c r="G148" s="100">
        <v>44.5</v>
      </c>
      <c r="H148" s="161">
        <f t="shared" si="73"/>
        <v>0</v>
      </c>
      <c r="I148" s="210">
        <f t="shared" ref="I148:I151" si="75">G148/E148</f>
        <v>0.27300000000000002</v>
      </c>
      <c r="J148" s="209">
        <f t="shared" si="74"/>
        <v>0</v>
      </c>
      <c r="K148" s="210">
        <f t="shared" ref="K148:K153" si="76">G148/D148</f>
        <v>1</v>
      </c>
      <c r="L148" s="221">
        <f t="shared" ref="L148:L153" si="77">G148-F148</f>
        <v>-128</v>
      </c>
    </row>
    <row r="149" spans="1:12" hidden="1" x14ac:dyDescent="0.2">
      <c r="A149" s="88"/>
      <c r="B149" s="89" t="s">
        <v>161</v>
      </c>
      <c r="C149" s="100">
        <v>0</v>
      </c>
      <c r="D149" s="100">
        <v>0</v>
      </c>
      <c r="E149" s="100">
        <v>0</v>
      </c>
      <c r="F149" s="100">
        <v>0</v>
      </c>
      <c r="G149" s="100">
        <v>0</v>
      </c>
      <c r="H149" s="161">
        <f t="shared" si="73"/>
        <v>0</v>
      </c>
      <c r="I149" s="210">
        <v>0</v>
      </c>
      <c r="J149" s="209">
        <f t="shared" si="74"/>
        <v>0</v>
      </c>
      <c r="K149" s="210">
        <v>0</v>
      </c>
      <c r="L149" s="221">
        <f t="shared" si="77"/>
        <v>0</v>
      </c>
    </row>
    <row r="150" spans="1:12" x14ac:dyDescent="0.2">
      <c r="A150" s="88"/>
      <c r="B150" s="89" t="s">
        <v>162</v>
      </c>
      <c r="C150" s="100">
        <v>0</v>
      </c>
      <c r="D150" s="100">
        <v>7002</v>
      </c>
      <c r="E150" s="100">
        <v>4340.3999999999996</v>
      </c>
      <c r="F150" s="100">
        <v>6776.1</v>
      </c>
      <c r="G150" s="100">
        <v>7002</v>
      </c>
      <c r="H150" s="161">
        <f t="shared" si="73"/>
        <v>5.0000000000000001E-3</v>
      </c>
      <c r="I150" s="210">
        <f t="shared" si="75"/>
        <v>1.613</v>
      </c>
      <c r="J150" s="209">
        <f t="shared" si="74"/>
        <v>0</v>
      </c>
      <c r="K150" s="210">
        <f t="shared" si="76"/>
        <v>1</v>
      </c>
      <c r="L150" s="221">
        <f t="shared" si="77"/>
        <v>225.9</v>
      </c>
    </row>
    <row r="151" spans="1:12" ht="27" x14ac:dyDescent="0.2">
      <c r="A151" s="14" t="s">
        <v>260</v>
      </c>
      <c r="B151" s="7" t="s">
        <v>259</v>
      </c>
      <c r="C151" s="147">
        <v>0</v>
      </c>
      <c r="D151" s="147">
        <v>800</v>
      </c>
      <c r="E151" s="5">
        <v>800</v>
      </c>
      <c r="F151" s="5">
        <v>0</v>
      </c>
      <c r="G151" s="5">
        <v>800</v>
      </c>
      <c r="H151" s="168">
        <f t="shared" si="73"/>
        <v>1E-3</v>
      </c>
      <c r="I151" s="210">
        <f t="shared" si="75"/>
        <v>1</v>
      </c>
      <c r="J151" s="209">
        <f t="shared" si="74"/>
        <v>0</v>
      </c>
      <c r="K151" s="210">
        <f t="shared" si="76"/>
        <v>1</v>
      </c>
      <c r="L151" s="221">
        <f t="shared" si="77"/>
        <v>800</v>
      </c>
    </row>
    <row r="152" spans="1:12" ht="54" x14ac:dyDescent="0.2">
      <c r="A152" s="14" t="s">
        <v>257</v>
      </c>
      <c r="B152" s="7" t="s">
        <v>258</v>
      </c>
      <c r="C152" s="147">
        <v>0</v>
      </c>
      <c r="D152" s="147">
        <v>554.9</v>
      </c>
      <c r="E152" s="5">
        <v>0</v>
      </c>
      <c r="F152" s="5">
        <v>2699.8</v>
      </c>
      <c r="G152" s="5">
        <v>554.9</v>
      </c>
      <c r="H152" s="168">
        <f t="shared" si="73"/>
        <v>0</v>
      </c>
      <c r="I152" s="210">
        <v>0</v>
      </c>
      <c r="J152" s="209">
        <f t="shared" si="74"/>
        <v>0</v>
      </c>
      <c r="K152" s="210">
        <f t="shared" si="76"/>
        <v>1</v>
      </c>
      <c r="L152" s="221">
        <f t="shared" si="77"/>
        <v>-2144.9</v>
      </c>
    </row>
    <row r="153" spans="1:12" x14ac:dyDescent="0.2">
      <c r="A153" s="14"/>
      <c r="B153" s="7" t="s">
        <v>186</v>
      </c>
      <c r="C153" s="147">
        <v>0</v>
      </c>
      <c r="D153" s="147">
        <v>81.599999999999994</v>
      </c>
      <c r="E153" s="5"/>
      <c r="F153" s="5">
        <v>0</v>
      </c>
      <c r="G153" s="5">
        <v>81.599999999999994</v>
      </c>
      <c r="H153" s="168">
        <f t="shared" si="73"/>
        <v>0</v>
      </c>
      <c r="I153" s="210"/>
      <c r="J153" s="209">
        <f t="shared" si="74"/>
        <v>0</v>
      </c>
      <c r="K153" s="210">
        <f t="shared" si="76"/>
        <v>1</v>
      </c>
      <c r="L153" s="221">
        <f t="shared" si="77"/>
        <v>81.599999999999994</v>
      </c>
    </row>
    <row r="154" spans="1:12" s="1" customFormat="1" ht="27" x14ac:dyDescent="0.2">
      <c r="A154" s="14" t="s">
        <v>56</v>
      </c>
      <c r="B154" s="7" t="s">
        <v>57</v>
      </c>
      <c r="C154" s="147">
        <f>C155</f>
        <v>1363.2</v>
      </c>
      <c r="D154" s="147">
        <f>D155</f>
        <v>919.8</v>
      </c>
      <c r="E154" s="147">
        <f t="shared" ref="E154:G154" si="78">E155</f>
        <v>757.8</v>
      </c>
      <c r="F154" s="147">
        <f t="shared" si="78"/>
        <v>1165</v>
      </c>
      <c r="G154" s="147">
        <f t="shared" si="78"/>
        <v>919.8</v>
      </c>
      <c r="H154" s="160">
        <f t="shared" si="73"/>
        <v>1E-3</v>
      </c>
      <c r="I154" s="170">
        <f>G154/E154</f>
        <v>1.214</v>
      </c>
      <c r="J154" s="209">
        <f t="shared" si="74"/>
        <v>0</v>
      </c>
      <c r="K154" s="210">
        <f>G154/D154</f>
        <v>1</v>
      </c>
      <c r="L154" s="221">
        <f>G154-F154</f>
        <v>-245.2</v>
      </c>
    </row>
    <row r="155" spans="1:12" s="1" customFormat="1" ht="17.25" customHeight="1" x14ac:dyDescent="0.2">
      <c r="A155" s="14"/>
      <c r="B155" s="7" t="s">
        <v>168</v>
      </c>
      <c r="C155" s="147">
        <v>1363.2</v>
      </c>
      <c r="D155" s="147">
        <v>919.8</v>
      </c>
      <c r="E155" s="5">
        <v>757.8</v>
      </c>
      <c r="F155" s="5">
        <v>1165</v>
      </c>
      <c r="G155" s="5">
        <v>919.8</v>
      </c>
      <c r="H155" s="160">
        <f t="shared" si="73"/>
        <v>1E-3</v>
      </c>
      <c r="I155" s="170">
        <f>G155/E155</f>
        <v>1.214</v>
      </c>
      <c r="J155" s="209">
        <f t="shared" si="74"/>
        <v>0</v>
      </c>
      <c r="K155" s="210">
        <f t="shared" ref="K155:K160" si="79">G155/D155</f>
        <v>1</v>
      </c>
      <c r="L155" s="221">
        <f>G155-F155</f>
        <v>-245.2</v>
      </c>
    </row>
    <row r="156" spans="1:12" s="1" customFormat="1" ht="13.5" hidden="1" customHeight="1" x14ac:dyDescent="0.2">
      <c r="A156" s="14"/>
      <c r="B156" s="7" t="s">
        <v>169</v>
      </c>
      <c r="C156" s="91">
        <v>0</v>
      </c>
      <c r="D156" s="147">
        <v>0</v>
      </c>
      <c r="E156" s="5">
        <v>0</v>
      </c>
      <c r="F156" s="5">
        <v>0</v>
      </c>
      <c r="G156" s="5">
        <v>0</v>
      </c>
      <c r="H156" s="160">
        <f t="shared" si="73"/>
        <v>0</v>
      </c>
      <c r="I156" s="170" t="e">
        <f>G156/E156</f>
        <v>#DIV/0!</v>
      </c>
      <c r="J156" s="209">
        <f t="shared" si="74"/>
        <v>0</v>
      </c>
      <c r="K156" s="210" t="e">
        <f t="shared" si="79"/>
        <v>#DIV/0!</v>
      </c>
      <c r="L156" s="221" t="e">
        <f>G156-#REF!</f>
        <v>#REF!</v>
      </c>
    </row>
    <row r="157" spans="1:12" x14ac:dyDescent="0.2">
      <c r="A157" s="14"/>
      <c r="B157" s="6" t="s">
        <v>123</v>
      </c>
      <c r="C157" s="6"/>
      <c r="D157" s="5"/>
      <c r="E157" s="5"/>
      <c r="F157" s="5"/>
      <c r="G157" s="5"/>
      <c r="H157" s="168"/>
      <c r="I157" s="170"/>
      <c r="J157" s="209"/>
      <c r="K157" s="210"/>
      <c r="L157" s="221"/>
    </row>
    <row r="158" spans="1:12" x14ac:dyDescent="0.2">
      <c r="A158" s="14"/>
      <c r="B158" s="7" t="s">
        <v>97</v>
      </c>
      <c r="C158" s="5">
        <v>5923.8</v>
      </c>
      <c r="D158" s="5">
        <v>9506.5</v>
      </c>
      <c r="E158" s="5">
        <v>3133.2</v>
      </c>
      <c r="F158" s="5">
        <v>12973.4</v>
      </c>
      <c r="G158" s="5">
        <v>9179.2999999999993</v>
      </c>
      <c r="H158" s="168">
        <f t="shared" ref="H158:H164" si="80">G158/$G$223</f>
        <v>6.0000000000000001E-3</v>
      </c>
      <c r="I158" s="170">
        <f t="shared" ref="I158:I164" si="81">G158/E158</f>
        <v>2.93</v>
      </c>
      <c r="J158" s="209">
        <f t="shared" ref="J158:J164" si="82">G158-D158</f>
        <v>-327.2</v>
      </c>
      <c r="K158" s="210">
        <f t="shared" si="79"/>
        <v>0.96599999999999997</v>
      </c>
      <c r="L158" s="221">
        <f>G158-F158</f>
        <v>-3794.1</v>
      </c>
    </row>
    <row r="159" spans="1:12" s="116" customFormat="1" ht="13.5" hidden="1" customHeight="1" x14ac:dyDescent="0.2">
      <c r="A159" s="241"/>
      <c r="B159" s="242" t="s">
        <v>133</v>
      </c>
      <c r="C159" s="164"/>
      <c r="D159" s="164"/>
      <c r="E159" s="164">
        <v>0</v>
      </c>
      <c r="F159" s="164">
        <v>0</v>
      </c>
      <c r="G159" s="164">
        <v>0</v>
      </c>
      <c r="H159" s="243">
        <f t="shared" si="80"/>
        <v>0</v>
      </c>
      <c r="I159" s="170" t="e">
        <f t="shared" si="81"/>
        <v>#DIV/0!</v>
      </c>
      <c r="J159" s="224">
        <f t="shared" si="82"/>
        <v>0</v>
      </c>
      <c r="K159" s="210" t="e">
        <f t="shared" si="79"/>
        <v>#DIV/0!</v>
      </c>
      <c r="L159" s="221">
        <f t="shared" ref="L159:L160" si="83">G159-F159</f>
        <v>0</v>
      </c>
    </row>
    <row r="160" spans="1:12" x14ac:dyDescent="0.2">
      <c r="A160" s="14"/>
      <c r="B160" s="17" t="s">
        <v>141</v>
      </c>
      <c r="C160" s="147">
        <v>143433.4</v>
      </c>
      <c r="D160" s="147">
        <v>251313.5</v>
      </c>
      <c r="E160" s="147">
        <v>150235.79999999999</v>
      </c>
      <c r="F160" s="147">
        <v>185006.6</v>
      </c>
      <c r="G160" s="147">
        <v>246124.3</v>
      </c>
      <c r="H160" s="168">
        <f t="shared" si="80"/>
        <v>0.17299999999999999</v>
      </c>
      <c r="I160" s="170">
        <f t="shared" si="81"/>
        <v>1.6379999999999999</v>
      </c>
      <c r="J160" s="209">
        <f t="shared" si="82"/>
        <v>-5189.2</v>
      </c>
      <c r="K160" s="210">
        <f t="shared" si="79"/>
        <v>0.97899999999999998</v>
      </c>
      <c r="L160" s="221">
        <f t="shared" si="83"/>
        <v>61117.7</v>
      </c>
    </row>
    <row r="161" spans="1:12" s="23" customFormat="1" x14ac:dyDescent="0.2">
      <c r="A161" s="69" t="s">
        <v>109</v>
      </c>
      <c r="B161" s="75" t="s">
        <v>108</v>
      </c>
      <c r="C161" s="70">
        <f>C162+C177</f>
        <v>14945.1</v>
      </c>
      <c r="D161" s="70">
        <f>D162+D177</f>
        <v>13691</v>
      </c>
      <c r="E161" s="70">
        <f t="shared" ref="E161:G161" si="84">E162+E177</f>
        <v>9131.2999999999993</v>
      </c>
      <c r="F161" s="70">
        <f t="shared" si="84"/>
        <v>11011</v>
      </c>
      <c r="G161" s="70">
        <f t="shared" si="84"/>
        <v>13690.5</v>
      </c>
      <c r="H161" s="71">
        <f t="shared" si="80"/>
        <v>0.01</v>
      </c>
      <c r="I161" s="170">
        <f t="shared" si="81"/>
        <v>1.4990000000000001</v>
      </c>
      <c r="J161" s="171">
        <f>G161-D161</f>
        <v>-0.5</v>
      </c>
      <c r="K161" s="170">
        <f t="shared" ref="K161:K164" si="85">G161/D161</f>
        <v>1</v>
      </c>
      <c r="L161" s="172">
        <f>G161-F161</f>
        <v>2679.5</v>
      </c>
    </row>
    <row r="162" spans="1:12" s="36" customFormat="1" x14ac:dyDescent="0.2">
      <c r="A162" s="92" t="s">
        <v>44</v>
      </c>
      <c r="B162" s="93" t="s">
        <v>52</v>
      </c>
      <c r="C162" s="163">
        <f>C163+C164</f>
        <v>14945.1</v>
      </c>
      <c r="D162" s="163">
        <f t="shared" ref="D162:G162" si="86">D163+D164</f>
        <v>13623.3</v>
      </c>
      <c r="E162" s="163">
        <f t="shared" si="86"/>
        <v>9131.2999999999993</v>
      </c>
      <c r="F162" s="163">
        <f t="shared" si="86"/>
        <v>11011</v>
      </c>
      <c r="G162" s="163">
        <f t="shared" si="86"/>
        <v>13622.8</v>
      </c>
      <c r="H162" s="81">
        <f t="shared" si="80"/>
        <v>0.01</v>
      </c>
      <c r="I162" s="170">
        <f t="shared" si="81"/>
        <v>1.492</v>
      </c>
      <c r="J162" s="209">
        <f t="shared" si="82"/>
        <v>-0.5</v>
      </c>
      <c r="K162" s="210">
        <f t="shared" si="85"/>
        <v>1</v>
      </c>
      <c r="L162" s="221">
        <f>G162-F162</f>
        <v>2611.8000000000002</v>
      </c>
    </row>
    <row r="163" spans="1:12" ht="40.5" x14ac:dyDescent="0.2">
      <c r="A163" s="15">
        <v>611</v>
      </c>
      <c r="B163" s="7" t="s">
        <v>95</v>
      </c>
      <c r="C163" s="5">
        <v>11451.1</v>
      </c>
      <c r="D163" s="5">
        <v>10243.1</v>
      </c>
      <c r="E163" s="5">
        <v>7072.1</v>
      </c>
      <c r="F163" s="5">
        <v>8860.1</v>
      </c>
      <c r="G163" s="5">
        <v>10243.1</v>
      </c>
      <c r="H163" s="168">
        <f t="shared" si="80"/>
        <v>7.0000000000000001E-3</v>
      </c>
      <c r="I163" s="170">
        <f t="shared" si="81"/>
        <v>1.448</v>
      </c>
      <c r="J163" s="209">
        <f t="shared" si="82"/>
        <v>0</v>
      </c>
      <c r="K163" s="210">
        <f t="shared" si="85"/>
        <v>1</v>
      </c>
      <c r="L163" s="221">
        <f>G163-F163</f>
        <v>1383</v>
      </c>
    </row>
    <row r="164" spans="1:12" x14ac:dyDescent="0.2">
      <c r="A164" s="15">
        <v>612</v>
      </c>
      <c r="B164" s="7" t="s">
        <v>189</v>
      </c>
      <c r="C164" s="5">
        <v>3494</v>
      </c>
      <c r="D164" s="5">
        <v>3380.2</v>
      </c>
      <c r="E164" s="5">
        <f>3259.1-1199.9</f>
        <v>2059.1999999999998</v>
      </c>
      <c r="F164" s="5">
        <v>2150.9</v>
      </c>
      <c r="G164" s="5">
        <v>3379.7</v>
      </c>
      <c r="H164" s="168">
        <f t="shared" si="80"/>
        <v>2E-3</v>
      </c>
      <c r="I164" s="210">
        <f t="shared" si="81"/>
        <v>1.641</v>
      </c>
      <c r="J164" s="209">
        <f t="shared" si="82"/>
        <v>-0.5</v>
      </c>
      <c r="K164" s="210">
        <f t="shared" si="85"/>
        <v>1</v>
      </c>
      <c r="L164" s="221">
        <f>G164-F164</f>
        <v>1228.8</v>
      </c>
    </row>
    <row r="165" spans="1:12" x14ac:dyDescent="0.2">
      <c r="A165" s="94"/>
      <c r="B165" s="95" t="s">
        <v>178</v>
      </c>
      <c r="C165" s="95"/>
      <c r="D165" s="96"/>
      <c r="E165" s="96"/>
      <c r="F165" s="96"/>
      <c r="G165" s="96"/>
      <c r="H165" s="161"/>
      <c r="I165" s="210"/>
      <c r="J165" s="209"/>
      <c r="K165" s="210"/>
      <c r="L165" s="221"/>
    </row>
    <row r="166" spans="1:12" ht="27" x14ac:dyDescent="0.2">
      <c r="A166" s="88" t="s">
        <v>275</v>
      </c>
      <c r="B166" s="89" t="s">
        <v>303</v>
      </c>
      <c r="C166" s="96">
        <v>12649.1</v>
      </c>
      <c r="D166" s="96">
        <v>11485.1</v>
      </c>
      <c r="E166" s="96">
        <v>8514.6</v>
      </c>
      <c r="F166" s="96">
        <v>9031.7999999999993</v>
      </c>
      <c r="G166" s="96">
        <v>11485.1</v>
      </c>
      <c r="H166" s="161">
        <f t="shared" ref="H166:H172" si="87">G166/$G$223</f>
        <v>8.0000000000000002E-3</v>
      </c>
      <c r="I166" s="210">
        <f>G166/E166</f>
        <v>1.349</v>
      </c>
      <c r="J166" s="209">
        <f t="shared" ref="J166:J172" si="88">G166-D166</f>
        <v>0</v>
      </c>
      <c r="K166" s="210">
        <f t="shared" ref="K166:K172" si="89">G166/D166</f>
        <v>1</v>
      </c>
      <c r="L166" s="221">
        <f>G166-F166</f>
        <v>2453.3000000000002</v>
      </c>
    </row>
    <row r="167" spans="1:12" ht="27" x14ac:dyDescent="0.2">
      <c r="A167" s="88" t="s">
        <v>275</v>
      </c>
      <c r="B167" s="89" t="s">
        <v>304</v>
      </c>
      <c r="C167" s="96">
        <v>1200</v>
      </c>
      <c r="D167" s="96">
        <v>1200</v>
      </c>
      <c r="E167" s="96"/>
      <c r="F167" s="96">
        <v>1200</v>
      </c>
      <c r="G167" s="96">
        <v>1199.9000000000001</v>
      </c>
      <c r="H167" s="161">
        <f t="shared" si="87"/>
        <v>1E-3</v>
      </c>
      <c r="I167" s="210"/>
      <c r="J167" s="209">
        <f t="shared" si="88"/>
        <v>-0.1</v>
      </c>
      <c r="K167" s="210">
        <f t="shared" si="89"/>
        <v>1</v>
      </c>
      <c r="L167" s="221">
        <f>G167-F167</f>
        <v>-0.1</v>
      </c>
    </row>
    <row r="168" spans="1:12" x14ac:dyDescent="0.2">
      <c r="A168" s="88" t="s">
        <v>276</v>
      </c>
      <c r="B168" s="89" t="s">
        <v>163</v>
      </c>
      <c r="C168" s="96">
        <v>38</v>
      </c>
      <c r="D168" s="96">
        <v>51.3</v>
      </c>
      <c r="E168" s="96">
        <v>39.1</v>
      </c>
      <c r="F168" s="96">
        <v>52</v>
      </c>
      <c r="G168" s="96">
        <v>51.3</v>
      </c>
      <c r="H168" s="161">
        <f t="shared" si="87"/>
        <v>0</v>
      </c>
      <c r="I168" s="210">
        <f>G168/E168</f>
        <v>1.3120000000000001</v>
      </c>
      <c r="J168" s="209">
        <f t="shared" si="88"/>
        <v>0</v>
      </c>
      <c r="K168" s="210">
        <f t="shared" si="89"/>
        <v>1</v>
      </c>
      <c r="L168" s="221">
        <f t="shared" ref="L168:L171" si="90">G168-F168</f>
        <v>-0.7</v>
      </c>
    </row>
    <row r="169" spans="1:12" x14ac:dyDescent="0.2">
      <c r="A169" s="88" t="s">
        <v>277</v>
      </c>
      <c r="B169" s="89" t="s">
        <v>100</v>
      </c>
      <c r="C169" s="96">
        <v>662.2</v>
      </c>
      <c r="D169" s="96">
        <v>620.5</v>
      </c>
      <c r="E169" s="96">
        <v>477.9</v>
      </c>
      <c r="F169" s="96">
        <v>563.70000000000005</v>
      </c>
      <c r="G169" s="96">
        <v>620.5</v>
      </c>
      <c r="H169" s="161">
        <f t="shared" si="87"/>
        <v>0</v>
      </c>
      <c r="I169" s="210">
        <f>G169/E169</f>
        <v>1.298</v>
      </c>
      <c r="J169" s="209">
        <f t="shared" si="88"/>
        <v>0</v>
      </c>
      <c r="K169" s="210">
        <f t="shared" si="89"/>
        <v>1</v>
      </c>
      <c r="L169" s="221">
        <f t="shared" si="90"/>
        <v>56.8</v>
      </c>
    </row>
    <row r="170" spans="1:12" x14ac:dyDescent="0.2">
      <c r="A170" s="88" t="s">
        <v>278</v>
      </c>
      <c r="B170" s="89" t="s">
        <v>161</v>
      </c>
      <c r="C170" s="96">
        <v>72.599999999999994</v>
      </c>
      <c r="D170" s="96">
        <v>16.8</v>
      </c>
      <c r="E170" s="96">
        <v>16.8</v>
      </c>
      <c r="F170" s="96">
        <v>34.799999999999997</v>
      </c>
      <c r="G170" s="96">
        <v>16.8</v>
      </c>
      <c r="H170" s="161">
        <f t="shared" si="87"/>
        <v>0</v>
      </c>
      <c r="I170" s="210">
        <v>0</v>
      </c>
      <c r="J170" s="209">
        <f t="shared" si="88"/>
        <v>0</v>
      </c>
      <c r="K170" s="210">
        <f t="shared" si="89"/>
        <v>1</v>
      </c>
      <c r="L170" s="221">
        <f t="shared" si="90"/>
        <v>-18</v>
      </c>
    </row>
    <row r="171" spans="1:12" x14ac:dyDescent="0.2">
      <c r="A171" s="88"/>
      <c r="B171" s="89" t="s">
        <v>305</v>
      </c>
      <c r="C171" s="96">
        <v>323.2</v>
      </c>
      <c r="D171" s="96">
        <v>249.5</v>
      </c>
      <c r="E171" s="96">
        <v>82.9</v>
      </c>
      <c r="F171" s="96">
        <v>128.69999999999999</v>
      </c>
      <c r="G171" s="96">
        <f>249.1+0.1</f>
        <v>249.2</v>
      </c>
      <c r="H171" s="161">
        <f t="shared" si="87"/>
        <v>0</v>
      </c>
      <c r="I171" s="210">
        <f t="shared" ref="I171:I183" si="91">G171/E171</f>
        <v>3.0059999999999998</v>
      </c>
      <c r="J171" s="209">
        <f t="shared" si="88"/>
        <v>-0.3</v>
      </c>
      <c r="K171" s="210">
        <f t="shared" si="89"/>
        <v>0.999</v>
      </c>
      <c r="L171" s="221">
        <f t="shared" si="90"/>
        <v>120.5</v>
      </c>
    </row>
    <row r="172" spans="1:12" ht="13.5" hidden="1" customHeight="1" x14ac:dyDescent="0.2">
      <c r="A172" s="15">
        <v>612</v>
      </c>
      <c r="B172" s="7" t="s">
        <v>96</v>
      </c>
      <c r="C172" s="90"/>
      <c r="D172" s="105"/>
      <c r="E172" s="105"/>
      <c r="F172" s="105"/>
      <c r="G172" s="105"/>
      <c r="H172" s="160">
        <f t="shared" si="87"/>
        <v>0</v>
      </c>
      <c r="I172" s="170" t="e">
        <f t="shared" si="91"/>
        <v>#DIV/0!</v>
      </c>
      <c r="J172" s="209">
        <f t="shared" si="88"/>
        <v>0</v>
      </c>
      <c r="K172" s="210" t="e">
        <f t="shared" si="89"/>
        <v>#DIV/0!</v>
      </c>
      <c r="L172" s="221" t="e">
        <f>G172-#REF!</f>
        <v>#REF!</v>
      </c>
    </row>
    <row r="173" spans="1:12" ht="13.5" hidden="1" customHeight="1" x14ac:dyDescent="0.2">
      <c r="A173" s="131"/>
      <c r="B173" s="132" t="s">
        <v>27</v>
      </c>
      <c r="C173" s="91"/>
      <c r="D173" s="157"/>
      <c r="E173" s="157"/>
      <c r="F173" s="157"/>
      <c r="G173" s="157"/>
      <c r="H173" s="160"/>
      <c r="I173" s="170" t="e">
        <f t="shared" si="91"/>
        <v>#DIV/0!</v>
      </c>
      <c r="J173" s="209"/>
      <c r="K173" s="210"/>
      <c r="L173" s="221"/>
    </row>
    <row r="174" spans="1:12" ht="27" hidden="1" customHeight="1" x14ac:dyDescent="0.2">
      <c r="A174" s="131"/>
      <c r="B174" s="132" t="s">
        <v>165</v>
      </c>
      <c r="C174" s="91"/>
      <c r="D174" s="157"/>
      <c r="E174" s="157"/>
      <c r="F174" s="157"/>
      <c r="G174" s="157"/>
      <c r="H174" s="160">
        <f t="shared" ref="H174:H183" si="92">G174/$G$223</f>
        <v>0</v>
      </c>
      <c r="I174" s="170" t="e">
        <f t="shared" si="91"/>
        <v>#DIV/0!</v>
      </c>
      <c r="J174" s="209">
        <f t="shared" ref="J174:J181" si="93">G174-D174</f>
        <v>0</v>
      </c>
      <c r="K174" s="210" t="e">
        <f t="shared" ref="K174:K181" si="94">G174/D174</f>
        <v>#DIV/0!</v>
      </c>
      <c r="L174" s="221" t="e">
        <f>G174-#REF!</f>
        <v>#REF!</v>
      </c>
    </row>
    <row r="175" spans="1:12" x14ac:dyDescent="0.2">
      <c r="A175" s="14"/>
      <c r="B175" s="253" t="s">
        <v>306</v>
      </c>
      <c r="C175" s="147">
        <v>0</v>
      </c>
      <c r="D175" s="157">
        <v>117.4</v>
      </c>
      <c r="E175" s="157">
        <v>1199.9000000000001</v>
      </c>
      <c r="F175" s="157">
        <v>0</v>
      </c>
      <c r="G175" s="157">
        <v>116.9</v>
      </c>
      <c r="H175" s="160">
        <f t="shared" si="92"/>
        <v>0</v>
      </c>
      <c r="I175" s="210">
        <f t="shared" si="91"/>
        <v>9.7000000000000003E-2</v>
      </c>
      <c r="J175" s="209">
        <f t="shared" si="93"/>
        <v>-0.5</v>
      </c>
      <c r="K175" s="210">
        <f t="shared" si="94"/>
        <v>0.996</v>
      </c>
      <c r="L175" s="221">
        <f>G175-F175</f>
        <v>116.9</v>
      </c>
    </row>
    <row r="176" spans="1:12" x14ac:dyDescent="0.2">
      <c r="A176" s="14"/>
      <c r="B176" s="253" t="s">
        <v>307</v>
      </c>
      <c r="C176" s="147">
        <v>35</v>
      </c>
      <c r="D176" s="157">
        <v>15</v>
      </c>
      <c r="E176" s="157"/>
      <c r="F176" s="157">
        <v>0</v>
      </c>
      <c r="G176" s="157">
        <v>15</v>
      </c>
      <c r="H176" s="160">
        <f t="shared" si="92"/>
        <v>0</v>
      </c>
      <c r="I176" s="210"/>
      <c r="J176" s="209">
        <f t="shared" si="93"/>
        <v>0</v>
      </c>
      <c r="K176" s="210">
        <f t="shared" si="94"/>
        <v>1</v>
      </c>
      <c r="L176" s="221">
        <f>G176-F176</f>
        <v>15</v>
      </c>
    </row>
    <row r="177" spans="1:12" s="23" customFormat="1" x14ac:dyDescent="0.2">
      <c r="A177" s="69" t="s">
        <v>272</v>
      </c>
      <c r="B177" s="75" t="s">
        <v>273</v>
      </c>
      <c r="C177" s="70">
        <f>C178</f>
        <v>0</v>
      </c>
      <c r="D177" s="70">
        <f>D178</f>
        <v>67.7</v>
      </c>
      <c r="E177" s="70">
        <f t="shared" ref="E177:G177" si="95">E178</f>
        <v>0</v>
      </c>
      <c r="F177" s="70">
        <f t="shared" si="95"/>
        <v>0</v>
      </c>
      <c r="G177" s="70">
        <f t="shared" si="95"/>
        <v>67.7</v>
      </c>
      <c r="H177" s="71">
        <f t="shared" si="92"/>
        <v>0</v>
      </c>
      <c r="I177" s="170"/>
      <c r="J177" s="171">
        <f t="shared" si="93"/>
        <v>0</v>
      </c>
      <c r="K177" s="170">
        <f t="shared" si="94"/>
        <v>1</v>
      </c>
      <c r="L177" s="172">
        <f>G177-F177</f>
        <v>67.7</v>
      </c>
    </row>
    <row r="178" spans="1:12" x14ac:dyDescent="0.2">
      <c r="A178" s="14"/>
      <c r="B178" s="7" t="s">
        <v>274</v>
      </c>
      <c r="C178" s="147">
        <v>0</v>
      </c>
      <c r="D178" s="147">
        <v>67.7</v>
      </c>
      <c r="E178" s="147"/>
      <c r="F178" s="147">
        <v>0</v>
      </c>
      <c r="G178" s="147">
        <v>67.7</v>
      </c>
      <c r="H178" s="151">
        <f t="shared" si="92"/>
        <v>0</v>
      </c>
      <c r="I178" s="168"/>
      <c r="J178" s="209">
        <f t="shared" si="93"/>
        <v>0</v>
      </c>
      <c r="K178" s="210">
        <f t="shared" si="94"/>
        <v>1</v>
      </c>
      <c r="L178" s="221">
        <f t="shared" ref="L178" si="96">G178-F178</f>
        <v>67.7</v>
      </c>
    </row>
    <row r="179" spans="1:12" s="23" customFormat="1" x14ac:dyDescent="0.2">
      <c r="A179" s="69" t="s">
        <v>58</v>
      </c>
      <c r="B179" s="73" t="s">
        <v>98</v>
      </c>
      <c r="C179" s="146">
        <f>C180</f>
        <v>82740</v>
      </c>
      <c r="D179" s="146">
        <f t="shared" ref="D179:G179" si="97">D180</f>
        <v>78284.800000000003</v>
      </c>
      <c r="E179" s="146">
        <f t="shared" si="97"/>
        <v>50489.5</v>
      </c>
      <c r="F179" s="146">
        <f t="shared" si="97"/>
        <v>71041.600000000006</v>
      </c>
      <c r="G179" s="146">
        <f t="shared" si="97"/>
        <v>78284.800000000003</v>
      </c>
      <c r="H179" s="71">
        <f t="shared" si="92"/>
        <v>5.5E-2</v>
      </c>
      <c r="I179" s="170">
        <f t="shared" si="91"/>
        <v>1.5509999999999999</v>
      </c>
      <c r="J179" s="171">
        <f t="shared" si="93"/>
        <v>0</v>
      </c>
      <c r="K179" s="170">
        <f t="shared" si="94"/>
        <v>1</v>
      </c>
      <c r="L179" s="172">
        <f>G179-F179</f>
        <v>7243.2</v>
      </c>
    </row>
    <row r="180" spans="1:12" s="36" customFormat="1" x14ac:dyDescent="0.2">
      <c r="A180" s="92" t="s">
        <v>60</v>
      </c>
      <c r="B180" s="93" t="s">
        <v>59</v>
      </c>
      <c r="C180" s="162">
        <f>C181+C183</f>
        <v>82740</v>
      </c>
      <c r="D180" s="162">
        <f>D181+D183</f>
        <v>78284.800000000003</v>
      </c>
      <c r="E180" s="162">
        <f t="shared" ref="E180:G180" si="98">E181+E183</f>
        <v>50489.5</v>
      </c>
      <c r="F180" s="162">
        <f t="shared" si="98"/>
        <v>71041.600000000006</v>
      </c>
      <c r="G180" s="162">
        <f t="shared" si="98"/>
        <v>78284.800000000003</v>
      </c>
      <c r="H180" s="81">
        <f t="shared" si="92"/>
        <v>5.5E-2</v>
      </c>
      <c r="I180" s="170">
        <f t="shared" si="91"/>
        <v>1.5509999999999999</v>
      </c>
      <c r="J180" s="209">
        <f t="shared" si="93"/>
        <v>0</v>
      </c>
      <c r="K180" s="210">
        <f t="shared" si="94"/>
        <v>1</v>
      </c>
      <c r="L180" s="221">
        <f>G180-F180</f>
        <v>7243.2</v>
      </c>
    </row>
    <row r="181" spans="1:12" ht="45" customHeight="1" x14ac:dyDescent="0.2">
      <c r="A181" s="15">
        <v>611</v>
      </c>
      <c r="B181" s="7" t="s">
        <v>95</v>
      </c>
      <c r="C181" s="5">
        <v>54659.9</v>
      </c>
      <c r="D181" s="105">
        <v>47813.9</v>
      </c>
      <c r="E181" s="105">
        <v>29543.5</v>
      </c>
      <c r="F181" s="105">
        <v>34362.6</v>
      </c>
      <c r="G181" s="105">
        <v>47813.9</v>
      </c>
      <c r="H181" s="160">
        <f t="shared" si="92"/>
        <v>3.4000000000000002E-2</v>
      </c>
      <c r="I181" s="170">
        <f t="shared" si="91"/>
        <v>1.6180000000000001</v>
      </c>
      <c r="J181" s="209">
        <f t="shared" si="93"/>
        <v>0</v>
      </c>
      <c r="K181" s="210">
        <f t="shared" si="94"/>
        <v>1</v>
      </c>
      <c r="L181" s="221">
        <f>G181-F181</f>
        <v>13451.3</v>
      </c>
    </row>
    <row r="182" spans="1:12" ht="13.5" hidden="1" customHeight="1" x14ac:dyDescent="0.2">
      <c r="A182" s="15"/>
      <c r="B182" s="8" t="s">
        <v>99</v>
      </c>
      <c r="C182" s="5"/>
      <c r="D182" s="105"/>
      <c r="E182" s="105"/>
      <c r="F182" s="105"/>
      <c r="G182" s="105"/>
      <c r="H182" s="160">
        <f t="shared" si="92"/>
        <v>0</v>
      </c>
      <c r="I182" s="170" t="e">
        <f t="shared" si="91"/>
        <v>#DIV/0!</v>
      </c>
      <c r="J182" s="209"/>
      <c r="K182" s="210"/>
      <c r="L182" s="221"/>
    </row>
    <row r="183" spans="1:12" ht="13.5" customHeight="1" x14ac:dyDescent="0.2">
      <c r="A183" s="15">
        <v>612</v>
      </c>
      <c r="B183" s="8" t="s">
        <v>96</v>
      </c>
      <c r="C183" s="5">
        <v>28080.1</v>
      </c>
      <c r="D183" s="105">
        <v>30470.9</v>
      </c>
      <c r="E183" s="105">
        <f>20945.9+0.1</f>
        <v>20946</v>
      </c>
      <c r="F183" s="105">
        <v>36679</v>
      </c>
      <c r="G183" s="105">
        <v>30470.9</v>
      </c>
      <c r="H183" s="160">
        <f t="shared" si="92"/>
        <v>2.1000000000000001E-2</v>
      </c>
      <c r="I183" s="170">
        <f t="shared" si="91"/>
        <v>1.4550000000000001</v>
      </c>
      <c r="J183" s="209">
        <f>G183-D183</f>
        <v>0</v>
      </c>
      <c r="K183" s="210">
        <f>G183/D183</f>
        <v>1</v>
      </c>
      <c r="L183" s="221">
        <f>G183-F183</f>
        <v>-6208.1</v>
      </c>
    </row>
    <row r="184" spans="1:12" x14ac:dyDescent="0.2">
      <c r="A184" s="94"/>
      <c r="B184" s="95" t="s">
        <v>178</v>
      </c>
      <c r="C184" s="95"/>
      <c r="D184" s="96"/>
      <c r="E184" s="96"/>
      <c r="F184" s="96"/>
      <c r="G184" s="96"/>
      <c r="H184" s="161"/>
      <c r="I184" s="210"/>
      <c r="J184" s="209"/>
      <c r="K184" s="210"/>
      <c r="L184" s="221"/>
    </row>
    <row r="185" spans="1:12" x14ac:dyDescent="0.2">
      <c r="A185" s="94" t="s">
        <v>275</v>
      </c>
      <c r="B185" s="89" t="s">
        <v>97</v>
      </c>
      <c r="C185" s="90">
        <v>71878.5</v>
      </c>
      <c r="D185" s="96">
        <v>65604.2</v>
      </c>
      <c r="E185" s="96">
        <v>44529.5</v>
      </c>
      <c r="F185" s="96">
        <v>58921</v>
      </c>
      <c r="G185" s="96">
        <v>65604.2</v>
      </c>
      <c r="H185" s="161">
        <f t="shared" ref="H185:H190" si="99">G185/$G$223</f>
        <v>4.5999999999999999E-2</v>
      </c>
      <c r="I185" s="210">
        <f t="shared" ref="I185:I193" si="100">G185/E185</f>
        <v>1.4730000000000001</v>
      </c>
      <c r="J185" s="209">
        <f t="shared" ref="J185:J190" si="101">G185-D185</f>
        <v>0</v>
      </c>
      <c r="K185" s="210">
        <f t="shared" ref="K185:K190" si="102">G185/D185</f>
        <v>1</v>
      </c>
      <c r="L185" s="221">
        <f>G185-F185</f>
        <v>6683.2</v>
      </c>
    </row>
    <row r="186" spans="1:12" x14ac:dyDescent="0.2">
      <c r="A186" s="94" t="s">
        <v>276</v>
      </c>
      <c r="B186" s="89" t="s">
        <v>164</v>
      </c>
      <c r="C186" s="90">
        <v>369.8</v>
      </c>
      <c r="D186" s="96">
        <v>278.8</v>
      </c>
      <c r="E186" s="96">
        <v>201</v>
      </c>
      <c r="F186" s="96">
        <v>261.7</v>
      </c>
      <c r="G186" s="96">
        <v>278.8</v>
      </c>
      <c r="H186" s="161">
        <f t="shared" si="99"/>
        <v>0</v>
      </c>
      <c r="I186" s="210">
        <f t="shared" si="100"/>
        <v>1.387</v>
      </c>
      <c r="J186" s="209">
        <f t="shared" si="101"/>
        <v>0</v>
      </c>
      <c r="K186" s="210">
        <f t="shared" si="102"/>
        <v>1</v>
      </c>
      <c r="L186" s="221">
        <f t="shared" ref="L186:L189" si="103">G186-F186</f>
        <v>17.100000000000001</v>
      </c>
    </row>
    <row r="187" spans="1:12" x14ac:dyDescent="0.2">
      <c r="A187" s="88" t="s">
        <v>277</v>
      </c>
      <c r="B187" s="89" t="s">
        <v>100</v>
      </c>
      <c r="C187" s="90">
        <v>6851.2</v>
      </c>
      <c r="D187" s="96">
        <v>6261.1</v>
      </c>
      <c r="E187" s="96">
        <v>4385.8999999999996</v>
      </c>
      <c r="F187" s="96">
        <v>5757.1</v>
      </c>
      <c r="G187" s="96">
        <v>6261.1</v>
      </c>
      <c r="H187" s="161">
        <f t="shared" si="99"/>
        <v>4.0000000000000001E-3</v>
      </c>
      <c r="I187" s="210">
        <f t="shared" si="100"/>
        <v>1.4279999999999999</v>
      </c>
      <c r="J187" s="209">
        <f t="shared" si="101"/>
        <v>0</v>
      </c>
      <c r="K187" s="210">
        <f t="shared" si="102"/>
        <v>1</v>
      </c>
      <c r="L187" s="221">
        <f t="shared" si="103"/>
        <v>504</v>
      </c>
    </row>
    <row r="188" spans="1:12" x14ac:dyDescent="0.2">
      <c r="A188" s="88" t="s">
        <v>278</v>
      </c>
      <c r="B188" s="89" t="s">
        <v>161</v>
      </c>
      <c r="C188" s="90">
        <v>1056.5</v>
      </c>
      <c r="D188" s="96">
        <v>222.1</v>
      </c>
      <c r="E188" s="96">
        <v>221.4</v>
      </c>
      <c r="F188" s="96">
        <v>546.4</v>
      </c>
      <c r="G188" s="96">
        <v>222.1</v>
      </c>
      <c r="H188" s="161">
        <f t="shared" si="99"/>
        <v>0</v>
      </c>
      <c r="I188" s="210">
        <f t="shared" si="100"/>
        <v>1.0029999999999999</v>
      </c>
      <c r="J188" s="209">
        <f t="shared" si="101"/>
        <v>0</v>
      </c>
      <c r="K188" s="210">
        <f t="shared" si="102"/>
        <v>1</v>
      </c>
      <c r="L188" s="221">
        <f t="shared" si="103"/>
        <v>-324.3</v>
      </c>
    </row>
    <row r="189" spans="1:12" x14ac:dyDescent="0.2">
      <c r="A189" s="88"/>
      <c r="B189" s="89" t="s">
        <v>293</v>
      </c>
      <c r="C189" s="90">
        <v>2584</v>
      </c>
      <c r="D189" s="96">
        <v>5918.6</v>
      </c>
      <c r="E189" s="96">
        <f>1151.6+0.1</f>
        <v>1151.7</v>
      </c>
      <c r="F189" s="96">
        <v>5555.4</v>
      </c>
      <c r="G189" s="96">
        <v>5918.6</v>
      </c>
      <c r="H189" s="161">
        <f t="shared" si="99"/>
        <v>4.0000000000000001E-3</v>
      </c>
      <c r="I189" s="210">
        <f t="shared" si="100"/>
        <v>5.1390000000000002</v>
      </c>
      <c r="J189" s="209">
        <f t="shared" si="101"/>
        <v>0</v>
      </c>
      <c r="K189" s="210">
        <f t="shared" si="102"/>
        <v>1</v>
      </c>
      <c r="L189" s="221">
        <f t="shared" si="103"/>
        <v>363.2</v>
      </c>
    </row>
    <row r="190" spans="1:12" ht="13.5" hidden="1" customHeight="1" x14ac:dyDescent="0.2">
      <c r="A190" s="15">
        <v>612</v>
      </c>
      <c r="B190" s="7" t="s">
        <v>96</v>
      </c>
      <c r="C190" s="5"/>
      <c r="D190" s="105"/>
      <c r="E190" s="105"/>
      <c r="F190" s="105"/>
      <c r="G190" s="105"/>
      <c r="H190" s="160">
        <f t="shared" si="99"/>
        <v>0</v>
      </c>
      <c r="I190" s="170" t="e">
        <f t="shared" si="100"/>
        <v>#DIV/0!</v>
      </c>
      <c r="J190" s="209">
        <f t="shared" si="101"/>
        <v>0</v>
      </c>
      <c r="K190" s="210" t="e">
        <f t="shared" si="102"/>
        <v>#DIV/0!</v>
      </c>
      <c r="L190" s="221" t="e">
        <f>G190-#REF!</f>
        <v>#REF!</v>
      </c>
    </row>
    <row r="191" spans="1:12" ht="13.5" hidden="1" customHeight="1" x14ac:dyDescent="0.2">
      <c r="A191" s="131"/>
      <c r="B191" s="130" t="s">
        <v>27</v>
      </c>
      <c r="C191" s="90"/>
      <c r="D191" s="105"/>
      <c r="E191" s="105"/>
      <c r="F191" s="105"/>
      <c r="G191" s="105"/>
      <c r="H191" s="160"/>
      <c r="I191" s="170" t="e">
        <f t="shared" si="100"/>
        <v>#DIV/0!</v>
      </c>
      <c r="J191" s="209"/>
      <c r="K191" s="210"/>
      <c r="L191" s="221"/>
    </row>
    <row r="192" spans="1:12" ht="40.5" hidden="1" customHeight="1" x14ac:dyDescent="0.2">
      <c r="A192" s="131"/>
      <c r="B192" s="130" t="s">
        <v>166</v>
      </c>
      <c r="C192" s="90"/>
      <c r="D192" s="105"/>
      <c r="E192" s="105"/>
      <c r="F192" s="105"/>
      <c r="G192" s="105"/>
      <c r="H192" s="160">
        <f>G192/$G$223</f>
        <v>0</v>
      </c>
      <c r="I192" s="170" t="e">
        <f t="shared" si="100"/>
        <v>#DIV/0!</v>
      </c>
      <c r="J192" s="209">
        <f t="shared" ref="J192:J203" si="104">G192-D192</f>
        <v>0</v>
      </c>
      <c r="K192" s="210" t="e">
        <f t="shared" ref="K192:K203" si="105">G192/D192</f>
        <v>#DIV/0!</v>
      </c>
      <c r="L192" s="221" t="e">
        <f>G192-#REF!</f>
        <v>#REF!</v>
      </c>
    </row>
    <row r="193" spans="1:12" ht="40.5" x14ac:dyDescent="0.2">
      <c r="A193" s="14"/>
      <c r="B193" s="252" t="s">
        <v>301</v>
      </c>
      <c r="C193" s="147">
        <v>471.4</v>
      </c>
      <c r="D193" s="157">
        <v>469.8</v>
      </c>
      <c r="E193" s="157"/>
      <c r="F193" s="157">
        <v>110.5</v>
      </c>
      <c r="G193" s="157">
        <v>469.8</v>
      </c>
      <c r="H193" s="160">
        <f>G193/$G$223</f>
        <v>0</v>
      </c>
      <c r="I193" s="210" t="e">
        <f t="shared" si="100"/>
        <v>#DIV/0!</v>
      </c>
      <c r="J193" s="209">
        <f>G193-D193</f>
        <v>0</v>
      </c>
      <c r="K193" s="210">
        <f t="shared" si="105"/>
        <v>1</v>
      </c>
      <c r="L193" s="221">
        <f>G193-F193</f>
        <v>359.3</v>
      </c>
    </row>
    <row r="194" spans="1:12" ht="27" x14ac:dyDescent="0.2">
      <c r="A194" s="131"/>
      <c r="B194" s="252" t="s">
        <v>302</v>
      </c>
      <c r="C194" s="157">
        <v>728.6</v>
      </c>
      <c r="D194" s="157">
        <v>3079.5</v>
      </c>
      <c r="E194" s="157"/>
      <c r="F194" s="157">
        <v>3571.1</v>
      </c>
      <c r="G194" s="157">
        <v>3079.5</v>
      </c>
      <c r="H194" s="160">
        <f t="shared" ref="H194:H195" si="106">G194/$G$223</f>
        <v>2E-3</v>
      </c>
      <c r="I194" s="170" t="e">
        <f t="shared" ref="I194:I202" si="107">G194/E194</f>
        <v>#DIV/0!</v>
      </c>
      <c r="J194" s="209">
        <f t="shared" ref="J194:J195" si="108">G194-D194</f>
        <v>0</v>
      </c>
      <c r="K194" s="210">
        <f t="shared" si="105"/>
        <v>1</v>
      </c>
      <c r="L194" s="221">
        <f t="shared" ref="L194:L195" si="109">G194-F194</f>
        <v>-491.6</v>
      </c>
    </row>
    <row r="195" spans="1:12" ht="15.75" customHeight="1" x14ac:dyDescent="0.2">
      <c r="A195" s="14"/>
      <c r="B195" s="252" t="s">
        <v>300</v>
      </c>
      <c r="C195" s="147">
        <v>349.1</v>
      </c>
      <c r="D195" s="157">
        <v>349.1</v>
      </c>
      <c r="E195" s="157"/>
      <c r="F195" s="157">
        <v>0</v>
      </c>
      <c r="G195" s="157">
        <v>349.1</v>
      </c>
      <c r="H195" s="160">
        <f t="shared" si="106"/>
        <v>0</v>
      </c>
      <c r="I195" s="170"/>
      <c r="J195" s="209">
        <f t="shared" si="108"/>
        <v>0</v>
      </c>
      <c r="K195" s="210">
        <f t="shared" si="105"/>
        <v>1</v>
      </c>
      <c r="L195" s="221">
        <f t="shared" si="109"/>
        <v>349.1</v>
      </c>
    </row>
    <row r="196" spans="1:12" s="23" customFormat="1" x14ac:dyDescent="0.2">
      <c r="A196" s="69" t="s">
        <v>101</v>
      </c>
      <c r="B196" s="73" t="s">
        <v>102</v>
      </c>
      <c r="C196" s="169">
        <f>C197+C198</f>
        <v>539.70000000000005</v>
      </c>
      <c r="D196" s="169">
        <f>D197+D198</f>
        <v>526.9</v>
      </c>
      <c r="E196" s="169">
        <f t="shared" ref="E196:G196" si="110">E197+E198</f>
        <v>398.2</v>
      </c>
      <c r="F196" s="169">
        <f t="shared" si="110"/>
        <v>529.70000000000005</v>
      </c>
      <c r="G196" s="169">
        <f t="shared" si="110"/>
        <v>526.9</v>
      </c>
      <c r="H196" s="170">
        <f t="shared" ref="H196:H203" si="111">G196/$G$223</f>
        <v>0</v>
      </c>
      <c r="I196" s="170">
        <f t="shared" si="107"/>
        <v>1.323</v>
      </c>
      <c r="J196" s="171">
        <f t="shared" si="104"/>
        <v>0</v>
      </c>
      <c r="K196" s="170">
        <f t="shared" si="105"/>
        <v>1</v>
      </c>
      <c r="L196" s="172">
        <f t="shared" ref="L196:L203" si="112">G196-F196</f>
        <v>-2.8</v>
      </c>
    </row>
    <row r="197" spans="1:12" s="36" customFormat="1" x14ac:dyDescent="0.2">
      <c r="A197" s="14" t="s">
        <v>61</v>
      </c>
      <c r="B197" s="17" t="s">
        <v>62</v>
      </c>
      <c r="C197" s="148">
        <v>539.70000000000005</v>
      </c>
      <c r="D197" s="148">
        <v>526.79999999999995</v>
      </c>
      <c r="E197" s="148">
        <v>398.1</v>
      </c>
      <c r="F197" s="148">
        <v>529.70000000000005</v>
      </c>
      <c r="G197" s="148">
        <v>526.79999999999995</v>
      </c>
      <c r="H197" s="168">
        <f t="shared" si="111"/>
        <v>0</v>
      </c>
      <c r="I197" s="170">
        <f t="shared" si="107"/>
        <v>1.323</v>
      </c>
      <c r="J197" s="209">
        <f t="shared" si="104"/>
        <v>0</v>
      </c>
      <c r="K197" s="210">
        <f t="shared" si="105"/>
        <v>1</v>
      </c>
      <c r="L197" s="221">
        <f t="shared" si="112"/>
        <v>-2.9</v>
      </c>
    </row>
    <row r="198" spans="1:12" s="36" customFormat="1" ht="13.5" customHeight="1" x14ac:dyDescent="0.2">
      <c r="A198" s="14" t="s">
        <v>229</v>
      </c>
      <c r="B198" s="17" t="s">
        <v>230</v>
      </c>
      <c r="C198" s="148">
        <v>0</v>
      </c>
      <c r="D198" s="148">
        <v>0.1</v>
      </c>
      <c r="E198" s="148">
        <v>0.1</v>
      </c>
      <c r="F198" s="148">
        <v>0</v>
      </c>
      <c r="G198" s="148">
        <v>0.1</v>
      </c>
      <c r="H198" s="168">
        <f t="shared" si="111"/>
        <v>0</v>
      </c>
      <c r="I198" s="170">
        <f t="shared" si="107"/>
        <v>1</v>
      </c>
      <c r="J198" s="209">
        <f t="shared" si="104"/>
        <v>0</v>
      </c>
      <c r="K198" s="210">
        <f t="shared" si="105"/>
        <v>1</v>
      </c>
      <c r="L198" s="221">
        <f t="shared" si="112"/>
        <v>0.1</v>
      </c>
    </row>
    <row r="199" spans="1:12" s="23" customFormat="1" x14ac:dyDescent="0.2">
      <c r="A199" s="69" t="s">
        <v>103</v>
      </c>
      <c r="B199" s="73" t="s">
        <v>49</v>
      </c>
      <c r="C199" s="72">
        <f t="shared" ref="C199:F199" si="113">C200+C217</f>
        <v>20563.7</v>
      </c>
      <c r="D199" s="72">
        <f t="shared" si="113"/>
        <v>19081.2</v>
      </c>
      <c r="E199" s="72">
        <f t="shared" si="113"/>
        <v>9657</v>
      </c>
      <c r="F199" s="72">
        <f t="shared" si="113"/>
        <v>12817.7</v>
      </c>
      <c r="G199" s="72">
        <f>G200+G217</f>
        <v>15996.2</v>
      </c>
      <c r="H199" s="71">
        <f t="shared" si="111"/>
        <v>1.0999999999999999E-2</v>
      </c>
      <c r="I199" s="170">
        <f t="shared" si="107"/>
        <v>1.6559999999999999</v>
      </c>
      <c r="J199" s="171">
        <f t="shared" si="104"/>
        <v>-3085</v>
      </c>
      <c r="K199" s="170">
        <f t="shared" si="105"/>
        <v>0.83799999999999997</v>
      </c>
      <c r="L199" s="172">
        <f t="shared" si="112"/>
        <v>3178.5</v>
      </c>
    </row>
    <row r="200" spans="1:12" s="36" customFormat="1" x14ac:dyDescent="0.2">
      <c r="A200" s="92" t="s">
        <v>73</v>
      </c>
      <c r="B200" s="136" t="s">
        <v>183</v>
      </c>
      <c r="C200" s="163">
        <f t="shared" ref="C200:F200" si="114">C201+C202+C216+C203</f>
        <v>20263.7</v>
      </c>
      <c r="D200" s="163">
        <f t="shared" si="114"/>
        <v>18796.099999999999</v>
      </c>
      <c r="E200" s="163">
        <f t="shared" si="114"/>
        <v>9518.2999999999993</v>
      </c>
      <c r="F200" s="163">
        <f t="shared" si="114"/>
        <v>12518.2</v>
      </c>
      <c r="G200" s="163">
        <f>G201+G202+G216+G203</f>
        <v>15711.1</v>
      </c>
      <c r="H200" s="81">
        <f t="shared" si="111"/>
        <v>1.0999999999999999E-2</v>
      </c>
      <c r="I200" s="170">
        <f t="shared" si="107"/>
        <v>1.651</v>
      </c>
      <c r="J200" s="209">
        <f t="shared" si="104"/>
        <v>-3085</v>
      </c>
      <c r="K200" s="210">
        <f t="shared" si="105"/>
        <v>0.83599999999999997</v>
      </c>
      <c r="L200" s="172">
        <f t="shared" si="112"/>
        <v>3192.9</v>
      </c>
    </row>
    <row r="201" spans="1:12" ht="40.5" x14ac:dyDescent="0.2">
      <c r="A201" s="15">
        <v>611</v>
      </c>
      <c r="B201" s="7" t="s">
        <v>95</v>
      </c>
      <c r="C201" s="5">
        <v>15925.6</v>
      </c>
      <c r="D201" s="105">
        <v>11218.3</v>
      </c>
      <c r="E201" s="105">
        <v>7137.3</v>
      </c>
      <c r="F201" s="105">
        <v>8833.5</v>
      </c>
      <c r="G201" s="105">
        <v>11218.3</v>
      </c>
      <c r="H201" s="160">
        <f t="shared" si="111"/>
        <v>8.0000000000000002E-3</v>
      </c>
      <c r="I201" s="210">
        <f t="shared" si="107"/>
        <v>1.5720000000000001</v>
      </c>
      <c r="J201" s="209">
        <f t="shared" si="104"/>
        <v>0</v>
      </c>
      <c r="K201" s="210">
        <f t="shared" si="105"/>
        <v>1</v>
      </c>
      <c r="L201" s="221">
        <f t="shared" si="112"/>
        <v>2384.8000000000002</v>
      </c>
    </row>
    <row r="202" spans="1:12" x14ac:dyDescent="0.2">
      <c r="A202" s="15">
        <v>612</v>
      </c>
      <c r="B202" s="7" t="s">
        <v>96</v>
      </c>
      <c r="C202" s="5">
        <v>3688.1</v>
      </c>
      <c r="D202" s="105">
        <v>4356.3</v>
      </c>
      <c r="E202" s="105">
        <f>1915.2+350</f>
        <v>2265.1999999999998</v>
      </c>
      <c r="F202" s="105">
        <v>3035.5</v>
      </c>
      <c r="G202" s="105">
        <v>4356.3</v>
      </c>
      <c r="H202" s="160">
        <f t="shared" si="111"/>
        <v>3.0000000000000001E-3</v>
      </c>
      <c r="I202" s="210">
        <f t="shared" si="107"/>
        <v>1.923</v>
      </c>
      <c r="J202" s="209">
        <f t="shared" si="104"/>
        <v>0</v>
      </c>
      <c r="K202" s="210">
        <f t="shared" si="105"/>
        <v>1</v>
      </c>
      <c r="L202" s="221">
        <f t="shared" si="112"/>
        <v>1320.8</v>
      </c>
    </row>
    <row r="203" spans="1:12" x14ac:dyDescent="0.2">
      <c r="A203" s="15">
        <v>244</v>
      </c>
      <c r="B203" s="7" t="s">
        <v>296</v>
      </c>
      <c r="C203" s="5">
        <v>650</v>
      </c>
      <c r="D203" s="105">
        <v>20.7</v>
      </c>
      <c r="E203" s="105"/>
      <c r="F203" s="105">
        <v>649.20000000000005</v>
      </c>
      <c r="G203" s="105">
        <v>20.7</v>
      </c>
      <c r="H203" s="160">
        <f t="shared" si="111"/>
        <v>0</v>
      </c>
      <c r="I203" s="210"/>
      <c r="J203" s="209">
        <f t="shared" si="104"/>
        <v>0</v>
      </c>
      <c r="K203" s="210">
        <f t="shared" si="105"/>
        <v>1</v>
      </c>
      <c r="L203" s="221">
        <f t="shared" si="112"/>
        <v>-628.5</v>
      </c>
    </row>
    <row r="204" spans="1:12" x14ac:dyDescent="0.2">
      <c r="A204" s="94"/>
      <c r="B204" s="95" t="s">
        <v>178</v>
      </c>
      <c r="C204" s="95"/>
      <c r="D204" s="96"/>
      <c r="E204" s="96"/>
      <c r="F204" s="96"/>
      <c r="G204" s="96"/>
      <c r="H204" s="161"/>
      <c r="I204" s="210"/>
      <c r="J204" s="209"/>
      <c r="K204" s="210"/>
      <c r="L204" s="221"/>
    </row>
    <row r="205" spans="1:12" x14ac:dyDescent="0.2">
      <c r="A205" s="94" t="s">
        <v>275</v>
      </c>
      <c r="B205" s="89" t="s">
        <v>97</v>
      </c>
      <c r="C205" s="90">
        <v>13427.9</v>
      </c>
      <c r="D205" s="96">
        <v>9704.6</v>
      </c>
      <c r="E205" s="96">
        <v>6750</v>
      </c>
      <c r="F205" s="96">
        <v>8502.5</v>
      </c>
      <c r="G205" s="96">
        <v>9704.6</v>
      </c>
      <c r="H205" s="161">
        <f t="shared" ref="H205:H210" si="115">G205/$G$223</f>
        <v>7.0000000000000001E-3</v>
      </c>
      <c r="I205" s="210">
        <f>G205/E205</f>
        <v>1.4379999999999999</v>
      </c>
      <c r="J205" s="209">
        <f t="shared" ref="J205:J210" si="116">G205-D205</f>
        <v>0</v>
      </c>
      <c r="K205" s="210">
        <f t="shared" ref="K205:K210" si="117">G205/D205</f>
        <v>1</v>
      </c>
      <c r="L205" s="221">
        <f>G205-F205</f>
        <v>1202.0999999999999</v>
      </c>
    </row>
    <row r="206" spans="1:12" x14ac:dyDescent="0.2">
      <c r="A206" s="94" t="s">
        <v>276</v>
      </c>
      <c r="B206" s="89" t="s">
        <v>164</v>
      </c>
      <c r="C206" s="90">
        <v>36.6</v>
      </c>
      <c r="D206" s="96">
        <v>23.1</v>
      </c>
      <c r="E206" s="96">
        <v>18.2</v>
      </c>
      <c r="F206" s="96">
        <v>26.1</v>
      </c>
      <c r="G206" s="96">
        <v>23.1</v>
      </c>
      <c r="H206" s="161">
        <f t="shared" si="115"/>
        <v>0</v>
      </c>
      <c r="I206" s="210">
        <f>G206/E206</f>
        <v>1.2689999999999999</v>
      </c>
      <c r="J206" s="209">
        <f t="shared" si="116"/>
        <v>0</v>
      </c>
      <c r="K206" s="210">
        <f t="shared" si="117"/>
        <v>1</v>
      </c>
      <c r="L206" s="221">
        <f t="shared" ref="L206:L209" si="118">G206-F206</f>
        <v>-3</v>
      </c>
    </row>
    <row r="207" spans="1:12" x14ac:dyDescent="0.2">
      <c r="A207" s="88" t="s">
        <v>277</v>
      </c>
      <c r="B207" s="89" t="s">
        <v>100</v>
      </c>
      <c r="C207" s="90">
        <v>4673.6000000000004</v>
      </c>
      <c r="D207" s="96">
        <v>3197.5</v>
      </c>
      <c r="E207" s="96">
        <v>2169.6999999999998</v>
      </c>
      <c r="F207" s="96">
        <v>1668.5</v>
      </c>
      <c r="G207" s="96">
        <v>3197.5</v>
      </c>
      <c r="H207" s="161">
        <f t="shared" si="115"/>
        <v>2E-3</v>
      </c>
      <c r="I207" s="210">
        <f>G207/E207</f>
        <v>1.474</v>
      </c>
      <c r="J207" s="209">
        <f t="shared" si="116"/>
        <v>0</v>
      </c>
      <c r="K207" s="210">
        <f t="shared" si="117"/>
        <v>1</v>
      </c>
      <c r="L207" s="221">
        <f t="shared" si="118"/>
        <v>1529</v>
      </c>
    </row>
    <row r="208" spans="1:12" x14ac:dyDescent="0.2">
      <c r="A208" s="88" t="s">
        <v>278</v>
      </c>
      <c r="B208" s="89" t="s">
        <v>161</v>
      </c>
      <c r="C208" s="90">
        <v>182</v>
      </c>
      <c r="D208" s="96">
        <v>42.3</v>
      </c>
      <c r="E208" s="96">
        <v>42.3</v>
      </c>
      <c r="F208" s="96">
        <v>67.7</v>
      </c>
      <c r="G208" s="96">
        <v>42.3</v>
      </c>
      <c r="H208" s="161">
        <f t="shared" si="115"/>
        <v>0</v>
      </c>
      <c r="I208" s="210">
        <v>0</v>
      </c>
      <c r="J208" s="209">
        <f t="shared" si="116"/>
        <v>0</v>
      </c>
      <c r="K208" s="210">
        <f t="shared" si="117"/>
        <v>1</v>
      </c>
      <c r="L208" s="221">
        <f t="shared" si="118"/>
        <v>-25.4</v>
      </c>
    </row>
    <row r="209" spans="1:12" x14ac:dyDescent="0.2">
      <c r="A209" s="88"/>
      <c r="B209" s="89" t="s">
        <v>293</v>
      </c>
      <c r="C209" s="90">
        <v>1943.6</v>
      </c>
      <c r="D209" s="96">
        <v>2627.8</v>
      </c>
      <c r="E209" s="96">
        <v>422.3</v>
      </c>
      <c r="F209" s="96">
        <v>2253.3000000000002</v>
      </c>
      <c r="G209" s="96">
        <f>2607.1+20.7</f>
        <v>2627.8</v>
      </c>
      <c r="H209" s="161">
        <f t="shared" si="115"/>
        <v>2E-3</v>
      </c>
      <c r="I209" s="210">
        <f t="shared" ref="I209:I223" si="119">G209/E209</f>
        <v>6.2229999999999999</v>
      </c>
      <c r="J209" s="209">
        <f t="shared" si="116"/>
        <v>0</v>
      </c>
      <c r="K209" s="210">
        <f t="shared" si="117"/>
        <v>1</v>
      </c>
      <c r="L209" s="221">
        <f t="shared" si="118"/>
        <v>374.5</v>
      </c>
    </row>
    <row r="210" spans="1:12" ht="13.5" hidden="1" customHeight="1" x14ac:dyDescent="0.2">
      <c r="A210" s="15"/>
      <c r="B210" s="7" t="s">
        <v>96</v>
      </c>
      <c r="C210" s="90"/>
      <c r="D210" s="140"/>
      <c r="E210" s="140"/>
      <c r="F210" s="140"/>
      <c r="G210" s="140"/>
      <c r="H210" s="144">
        <f t="shared" si="115"/>
        <v>0</v>
      </c>
      <c r="I210" s="170" t="e">
        <f t="shared" si="119"/>
        <v>#DIV/0!</v>
      </c>
      <c r="J210" s="209">
        <f t="shared" si="116"/>
        <v>0</v>
      </c>
      <c r="K210" s="210" t="e">
        <f t="shared" si="117"/>
        <v>#DIV/0!</v>
      </c>
      <c r="L210" s="221" t="e">
        <f>G210-#REF!</f>
        <v>#REF!</v>
      </c>
    </row>
    <row r="211" spans="1:12" ht="13.5" hidden="1" customHeight="1" x14ac:dyDescent="0.2">
      <c r="A211" s="131"/>
      <c r="B211" s="130" t="s">
        <v>27</v>
      </c>
      <c r="C211" s="90"/>
      <c r="D211" s="140"/>
      <c r="E211" s="140"/>
      <c r="F211" s="140"/>
      <c r="G211" s="140"/>
      <c r="H211" s="144"/>
      <c r="I211" s="170" t="e">
        <f t="shared" si="119"/>
        <v>#DIV/0!</v>
      </c>
      <c r="J211" s="209"/>
      <c r="K211" s="210"/>
      <c r="L211" s="221"/>
    </row>
    <row r="212" spans="1:12" ht="27" hidden="1" customHeight="1" x14ac:dyDescent="0.2">
      <c r="A212" s="131"/>
      <c r="B212" s="130" t="s">
        <v>165</v>
      </c>
      <c r="C212" s="90"/>
      <c r="D212" s="140"/>
      <c r="E212" s="140"/>
      <c r="F212" s="140"/>
      <c r="G212" s="140"/>
      <c r="H212" s="144">
        <f t="shared" ref="H212:H223" si="120">G212/$G$223</f>
        <v>0</v>
      </c>
      <c r="I212" s="170" t="e">
        <f t="shared" si="119"/>
        <v>#DIV/0!</v>
      </c>
      <c r="J212" s="209">
        <f t="shared" ref="J212:J222" si="121">G212-D212</f>
        <v>0</v>
      </c>
      <c r="K212" s="210" t="e">
        <f t="shared" ref="K212:K223" si="122">G212/D212</f>
        <v>#DIV/0!</v>
      </c>
      <c r="L212" s="221" t="e">
        <f>G212-#REF!</f>
        <v>#REF!</v>
      </c>
    </row>
    <row r="213" spans="1:12" ht="26.25" customHeight="1" x14ac:dyDescent="0.2">
      <c r="A213" s="183"/>
      <c r="B213" s="251" t="s">
        <v>298</v>
      </c>
      <c r="C213" s="147">
        <v>1800</v>
      </c>
      <c r="D213" s="157">
        <v>1808.6</v>
      </c>
      <c r="E213" s="157">
        <v>891.6</v>
      </c>
      <c r="F213" s="157">
        <v>1710.8</v>
      </c>
      <c r="G213" s="157">
        <v>1808.6</v>
      </c>
      <c r="H213" s="160">
        <f t="shared" si="120"/>
        <v>1E-3</v>
      </c>
      <c r="I213" s="170">
        <f t="shared" si="119"/>
        <v>2.028</v>
      </c>
      <c r="J213" s="209">
        <f t="shared" si="121"/>
        <v>0</v>
      </c>
      <c r="K213" s="210">
        <f t="shared" si="122"/>
        <v>1</v>
      </c>
      <c r="L213" s="221">
        <f t="shared" ref="L213:L223" si="123">G213-F213</f>
        <v>97.8</v>
      </c>
    </row>
    <row r="214" spans="1:12" x14ac:dyDescent="0.2">
      <c r="A214" s="183"/>
      <c r="B214" s="251" t="s">
        <v>299</v>
      </c>
      <c r="C214" s="147">
        <v>0</v>
      </c>
      <c r="D214" s="157">
        <v>350</v>
      </c>
      <c r="E214" s="157"/>
      <c r="F214" s="157">
        <v>400</v>
      </c>
      <c r="G214" s="157">
        <v>350</v>
      </c>
      <c r="H214" s="160">
        <f t="shared" si="120"/>
        <v>0</v>
      </c>
      <c r="I214" s="170"/>
      <c r="J214" s="209">
        <f t="shared" si="121"/>
        <v>0</v>
      </c>
      <c r="K214" s="210">
        <f t="shared" si="122"/>
        <v>1</v>
      </c>
      <c r="L214" s="221">
        <f t="shared" si="123"/>
        <v>-50</v>
      </c>
    </row>
    <row r="215" spans="1:12" x14ac:dyDescent="0.2">
      <c r="A215" s="183"/>
      <c r="B215" s="252" t="s">
        <v>300</v>
      </c>
      <c r="C215" s="147">
        <v>35</v>
      </c>
      <c r="D215" s="157">
        <v>47</v>
      </c>
      <c r="E215" s="157"/>
      <c r="F215" s="157">
        <v>0</v>
      </c>
      <c r="G215" s="157">
        <v>47</v>
      </c>
      <c r="H215" s="160">
        <f t="shared" si="120"/>
        <v>0</v>
      </c>
      <c r="I215" s="170"/>
      <c r="J215" s="209">
        <f t="shared" si="121"/>
        <v>0</v>
      </c>
      <c r="K215" s="210">
        <f t="shared" si="122"/>
        <v>1</v>
      </c>
      <c r="L215" s="221">
        <f t="shared" si="123"/>
        <v>47</v>
      </c>
    </row>
    <row r="216" spans="1:12" ht="67.5" x14ac:dyDescent="0.2">
      <c r="A216" s="14" t="s">
        <v>297</v>
      </c>
      <c r="B216" s="7" t="s">
        <v>294</v>
      </c>
      <c r="C216" s="147">
        <v>0</v>
      </c>
      <c r="D216" s="157">
        <v>3200.8</v>
      </c>
      <c r="E216" s="157">
        <v>115.8</v>
      </c>
      <c r="F216" s="157">
        <v>0</v>
      </c>
      <c r="G216" s="157">
        <v>115.8</v>
      </c>
      <c r="H216" s="160">
        <f t="shared" si="120"/>
        <v>0</v>
      </c>
      <c r="I216" s="170">
        <v>0</v>
      </c>
      <c r="J216" s="209">
        <f t="shared" si="121"/>
        <v>-3085</v>
      </c>
      <c r="K216" s="210">
        <f t="shared" si="122"/>
        <v>3.5999999999999997E-2</v>
      </c>
      <c r="L216" s="221">
        <f t="shared" si="123"/>
        <v>115.8</v>
      </c>
    </row>
    <row r="217" spans="1:12" ht="27" x14ac:dyDescent="0.2">
      <c r="A217" s="69" t="s">
        <v>227</v>
      </c>
      <c r="B217" s="73" t="s">
        <v>228</v>
      </c>
      <c r="C217" s="72">
        <f>C218</f>
        <v>300</v>
      </c>
      <c r="D217" s="72">
        <f>D218</f>
        <v>285.10000000000002</v>
      </c>
      <c r="E217" s="72">
        <f>E218</f>
        <v>138.69999999999999</v>
      </c>
      <c r="F217" s="72">
        <f>F218</f>
        <v>299.5</v>
      </c>
      <c r="G217" s="72">
        <f>G218</f>
        <v>285.10000000000002</v>
      </c>
      <c r="H217" s="71">
        <f t="shared" si="120"/>
        <v>0</v>
      </c>
      <c r="I217" s="170">
        <f t="shared" ref="I217" si="124">G217/E217</f>
        <v>2.056</v>
      </c>
      <c r="J217" s="171">
        <f t="shared" si="121"/>
        <v>0</v>
      </c>
      <c r="K217" s="170">
        <f>G217/D217</f>
        <v>1</v>
      </c>
      <c r="L217" s="172">
        <f>G217-F217</f>
        <v>-14.4</v>
      </c>
    </row>
    <row r="218" spans="1:12" ht="67.5" x14ac:dyDescent="0.2">
      <c r="A218" s="183"/>
      <c r="B218" s="130" t="s">
        <v>295</v>
      </c>
      <c r="C218" s="147">
        <v>300</v>
      </c>
      <c r="D218" s="157">
        <v>285.10000000000002</v>
      </c>
      <c r="E218" s="157">
        <v>138.69999999999999</v>
      </c>
      <c r="F218" s="157">
        <v>299.5</v>
      </c>
      <c r="G218" s="157">
        <v>285.10000000000002</v>
      </c>
      <c r="H218" s="160">
        <f t="shared" ref="H218" si="125">G218/$G$223</f>
        <v>0</v>
      </c>
      <c r="I218" s="170">
        <f t="shared" si="119"/>
        <v>2.056</v>
      </c>
      <c r="J218" s="209">
        <f t="shared" ref="J218" si="126">G218-D218</f>
        <v>0</v>
      </c>
      <c r="K218" s="210">
        <f t="shared" ref="K218" si="127">G218/D218</f>
        <v>1</v>
      </c>
      <c r="L218" s="221">
        <f t="shared" ref="L218" si="128">G218-F218</f>
        <v>-14.4</v>
      </c>
    </row>
    <row r="219" spans="1:12" s="23" customFormat="1" ht="27" x14ac:dyDescent="0.2">
      <c r="A219" s="76">
        <v>1300</v>
      </c>
      <c r="B219" s="73" t="s">
        <v>104</v>
      </c>
      <c r="C219" s="172">
        <f>C220</f>
        <v>19091.7</v>
      </c>
      <c r="D219" s="172">
        <f>D220</f>
        <v>18136.2</v>
      </c>
      <c r="E219" s="172">
        <f>E220</f>
        <v>13680.8</v>
      </c>
      <c r="F219" s="172">
        <f>F220</f>
        <v>15836.5</v>
      </c>
      <c r="G219" s="172">
        <f>G220</f>
        <v>18136.2</v>
      </c>
      <c r="H219" s="170">
        <f t="shared" si="120"/>
        <v>1.2999999999999999E-2</v>
      </c>
      <c r="I219" s="170">
        <f t="shared" si="119"/>
        <v>1.3260000000000001</v>
      </c>
      <c r="J219" s="171">
        <f t="shared" si="121"/>
        <v>0</v>
      </c>
      <c r="K219" s="170">
        <f t="shared" si="122"/>
        <v>1</v>
      </c>
      <c r="L219" s="172">
        <f t="shared" si="123"/>
        <v>2299.6999999999998</v>
      </c>
    </row>
    <row r="220" spans="1:12" s="36" customFormat="1" ht="27" x14ac:dyDescent="0.2">
      <c r="A220" s="14" t="s">
        <v>71</v>
      </c>
      <c r="B220" s="31" t="s">
        <v>105</v>
      </c>
      <c r="C220" s="148">
        <v>19091.7</v>
      </c>
      <c r="D220" s="148">
        <v>18136.2</v>
      </c>
      <c r="E220" s="148">
        <v>13680.8</v>
      </c>
      <c r="F220" s="156">
        <v>15836.5</v>
      </c>
      <c r="G220" s="156">
        <v>18136.2</v>
      </c>
      <c r="H220" s="160">
        <f t="shared" si="120"/>
        <v>1.2999999999999999E-2</v>
      </c>
      <c r="I220" s="170">
        <f t="shared" si="119"/>
        <v>1.3260000000000001</v>
      </c>
      <c r="J220" s="209">
        <f t="shared" si="121"/>
        <v>0</v>
      </c>
      <c r="K220" s="210">
        <f t="shared" si="122"/>
        <v>1</v>
      </c>
      <c r="L220" s="221">
        <f t="shared" si="123"/>
        <v>2299.6999999999998</v>
      </c>
    </row>
    <row r="221" spans="1:12" s="23" customFormat="1" ht="40.5" x14ac:dyDescent="0.2">
      <c r="A221" s="76">
        <v>1400</v>
      </c>
      <c r="B221" s="73" t="s">
        <v>146</v>
      </c>
      <c r="C221" s="172">
        <f>C222</f>
        <v>120000</v>
      </c>
      <c r="D221" s="172">
        <f>D222</f>
        <v>111400</v>
      </c>
      <c r="E221" s="172">
        <f>E222</f>
        <v>70400</v>
      </c>
      <c r="F221" s="72">
        <f>F222</f>
        <v>150000</v>
      </c>
      <c r="G221" s="72">
        <f>G222</f>
        <v>111400</v>
      </c>
      <c r="H221" s="71">
        <f t="shared" si="120"/>
        <v>7.8E-2</v>
      </c>
      <c r="I221" s="170">
        <f t="shared" si="119"/>
        <v>1.5820000000000001</v>
      </c>
      <c r="J221" s="171">
        <f t="shared" si="121"/>
        <v>0</v>
      </c>
      <c r="K221" s="170">
        <f t="shared" si="122"/>
        <v>1</v>
      </c>
      <c r="L221" s="172">
        <f t="shared" si="123"/>
        <v>-38600</v>
      </c>
    </row>
    <row r="222" spans="1:12" s="36" customFormat="1" x14ac:dyDescent="0.2">
      <c r="A222" s="14" t="s">
        <v>145</v>
      </c>
      <c r="B222" s="31" t="s">
        <v>147</v>
      </c>
      <c r="C222" s="148">
        <v>120000</v>
      </c>
      <c r="D222" s="148">
        <v>111400</v>
      </c>
      <c r="E222" s="148">
        <v>70400</v>
      </c>
      <c r="F222" s="156">
        <v>150000</v>
      </c>
      <c r="G222" s="156">
        <v>111400</v>
      </c>
      <c r="H222" s="160">
        <f t="shared" si="120"/>
        <v>7.8E-2</v>
      </c>
      <c r="I222" s="170">
        <f t="shared" si="119"/>
        <v>1.5820000000000001</v>
      </c>
      <c r="J222" s="209">
        <f t="shared" si="121"/>
        <v>0</v>
      </c>
      <c r="K222" s="210">
        <f t="shared" si="122"/>
        <v>1</v>
      </c>
      <c r="L222" s="221">
        <f t="shared" si="123"/>
        <v>-38600</v>
      </c>
    </row>
    <row r="223" spans="1:12" s="23" customFormat="1" ht="16.5" x14ac:dyDescent="0.2">
      <c r="A223" s="69"/>
      <c r="B223" s="77" t="s">
        <v>54</v>
      </c>
      <c r="C223" s="172">
        <f>C65+C80+C87+C117+C161+C179+C196+C199+C219+C221</f>
        <v>689100.1</v>
      </c>
      <c r="D223" s="172">
        <f>D65+D80+D87+D117+D161+D179+D196+D199+D219+D221</f>
        <v>1444462.7</v>
      </c>
      <c r="E223" s="172">
        <f>E65+E80+E87+E117+E161+E179+E196+E199+E219+E221</f>
        <v>850558.3</v>
      </c>
      <c r="F223" s="172">
        <f>F65+F80+F87+F117+F161+F179+F196+F199+F219+F221</f>
        <v>1259778.7</v>
      </c>
      <c r="G223" s="172">
        <f>G65+G80+G87+G117+G161+G179+G196+G199+G219+G221</f>
        <v>1426337.7</v>
      </c>
      <c r="H223" s="71">
        <f t="shared" si="120"/>
        <v>1</v>
      </c>
      <c r="I223" s="170">
        <f t="shared" si="119"/>
        <v>1.677</v>
      </c>
      <c r="J223" s="172">
        <f>J65+J80+J87+J117+J161+J179+J196+J199+J219</f>
        <v>-18125</v>
      </c>
      <c r="K223" s="170">
        <f t="shared" si="122"/>
        <v>0.98699999999999999</v>
      </c>
      <c r="L223" s="172">
        <f t="shared" si="123"/>
        <v>166559</v>
      </c>
    </row>
    <row r="224" spans="1:12" s="1" customFormat="1" ht="22.5" customHeight="1" x14ac:dyDescent="0.2">
      <c r="A224" s="28"/>
      <c r="B224" s="62"/>
      <c r="C224" s="195"/>
      <c r="D224" s="165"/>
      <c r="E224" s="165"/>
      <c r="F224" s="193"/>
      <c r="G224" s="184"/>
      <c r="H224" s="173"/>
      <c r="I224" s="225"/>
      <c r="J224" s="226"/>
      <c r="K224" s="225"/>
      <c r="L224" s="227"/>
    </row>
    <row r="225" spans="1:12" ht="21.75" customHeight="1" x14ac:dyDescent="0.2">
      <c r="A225" s="233"/>
      <c r="B225" s="234" t="s">
        <v>63</v>
      </c>
      <c r="C225" s="264">
        <f>C62-C223</f>
        <v>0</v>
      </c>
      <c r="D225" s="266">
        <f>D62-D223</f>
        <v>-7672.2</v>
      </c>
      <c r="E225" s="266">
        <f>E62-E223</f>
        <v>-225077.1</v>
      </c>
      <c r="F225" s="266">
        <f>F62-F223</f>
        <v>-57448.9</v>
      </c>
      <c r="G225" s="266">
        <f>G62-G223</f>
        <v>-6110</v>
      </c>
      <c r="H225" s="254"/>
      <c r="I225" s="258"/>
      <c r="J225" s="256"/>
      <c r="K225" s="258"/>
      <c r="L225" s="261"/>
    </row>
    <row r="226" spans="1:12" ht="18.75" customHeight="1" x14ac:dyDescent="0.2">
      <c r="A226" s="233"/>
      <c r="B226" s="234" t="s">
        <v>64</v>
      </c>
      <c r="C226" s="265"/>
      <c r="D226" s="267"/>
      <c r="E226" s="267"/>
      <c r="F226" s="267"/>
      <c r="G226" s="267"/>
      <c r="H226" s="255"/>
      <c r="I226" s="259"/>
      <c r="J226" s="257"/>
      <c r="K226" s="259"/>
      <c r="L226" s="262"/>
    </row>
    <row r="227" spans="1:12" ht="30" customHeight="1" x14ac:dyDescent="0.2">
      <c r="A227" s="233"/>
      <c r="B227" s="234" t="s">
        <v>65</v>
      </c>
      <c r="C227" s="235">
        <f>C228+C231</f>
        <v>0</v>
      </c>
      <c r="D227" s="112">
        <f>D228+D231</f>
        <v>7672.2</v>
      </c>
      <c r="E227" s="112">
        <f>E228+E231</f>
        <v>1092</v>
      </c>
      <c r="F227" s="112">
        <f>F228+F231</f>
        <v>57448.9</v>
      </c>
      <c r="G227" s="112">
        <f>G228+G231</f>
        <v>6110</v>
      </c>
      <c r="H227" s="181"/>
      <c r="I227" s="228"/>
      <c r="J227" s="171"/>
      <c r="K227" s="170"/>
      <c r="L227" s="172"/>
    </row>
    <row r="228" spans="1:12" ht="27" hidden="1" x14ac:dyDescent="0.2">
      <c r="A228" s="236" t="s">
        <v>80</v>
      </c>
      <c r="B228" s="237" t="s">
        <v>81</v>
      </c>
      <c r="C228" s="230">
        <f>C229+C230</f>
        <v>0</v>
      </c>
      <c r="D228" s="113">
        <v>0</v>
      </c>
      <c r="E228" s="113">
        <f>E229+E230</f>
        <v>0</v>
      </c>
      <c r="F228" s="113">
        <f>F229+F230</f>
        <v>60000</v>
      </c>
      <c r="G228" s="113">
        <f>G229+G230</f>
        <v>0</v>
      </c>
      <c r="H228" s="181">
        <v>0</v>
      </c>
      <c r="I228" s="228">
        <v>0</v>
      </c>
      <c r="J228" s="172">
        <v>0</v>
      </c>
      <c r="K228" s="170">
        <v>0</v>
      </c>
      <c r="L228" s="172">
        <f>G228-F228</f>
        <v>-60000</v>
      </c>
    </row>
    <row r="229" spans="1:12" s="36" customFormat="1" ht="27" hidden="1" x14ac:dyDescent="0.2">
      <c r="A229" s="238" t="s">
        <v>76</v>
      </c>
      <c r="B229" s="239" t="s">
        <v>77</v>
      </c>
      <c r="C229" s="102">
        <v>138500</v>
      </c>
      <c r="D229" s="102">
        <v>138500</v>
      </c>
      <c r="E229" s="102">
        <v>-118500</v>
      </c>
      <c r="F229" s="102">
        <v>100000</v>
      </c>
      <c r="G229" s="102">
        <v>138500</v>
      </c>
      <c r="H229" s="232">
        <v>0</v>
      </c>
      <c r="I229" s="229">
        <f t="shared" ref="I229:I233" si="129">G229/E229</f>
        <v>-1.169</v>
      </c>
      <c r="J229" s="218">
        <f t="shared" ref="J227:J233" si="130">G229-D229</f>
        <v>0</v>
      </c>
      <c r="K229" s="222">
        <f>G229/D229</f>
        <v>1</v>
      </c>
      <c r="L229" s="223">
        <f>G229-F229</f>
        <v>38500</v>
      </c>
    </row>
    <row r="230" spans="1:12" s="36" customFormat="1" ht="40.5" hidden="1" x14ac:dyDescent="0.2">
      <c r="A230" s="238" t="s">
        <v>78</v>
      </c>
      <c r="B230" s="239" t="s">
        <v>79</v>
      </c>
      <c r="C230" s="102">
        <v>-138500</v>
      </c>
      <c r="D230" s="102">
        <v>-138500</v>
      </c>
      <c r="E230" s="102">
        <v>118500</v>
      </c>
      <c r="F230" s="102">
        <v>-40000</v>
      </c>
      <c r="G230" s="102">
        <v>-138500</v>
      </c>
      <c r="H230" s="232">
        <v>0</v>
      </c>
      <c r="I230" s="229">
        <f t="shared" si="129"/>
        <v>-1.169</v>
      </c>
      <c r="J230" s="218">
        <f t="shared" si="130"/>
        <v>0</v>
      </c>
      <c r="K230" s="222">
        <f>G230/D230</f>
        <v>1</v>
      </c>
      <c r="L230" s="223">
        <f>G230-F230</f>
        <v>-98500</v>
      </c>
    </row>
    <row r="231" spans="1:12" ht="27" hidden="1" x14ac:dyDescent="0.2">
      <c r="A231" s="236" t="s">
        <v>82</v>
      </c>
      <c r="B231" s="237" t="s">
        <v>83</v>
      </c>
      <c r="C231" s="230">
        <f>C232+C233</f>
        <v>0</v>
      </c>
      <c r="D231" s="230">
        <f>D232+D233</f>
        <v>7672.2</v>
      </c>
      <c r="E231" s="230">
        <f>E232+E233</f>
        <v>1092</v>
      </c>
      <c r="F231" s="230">
        <f>F232+F233</f>
        <v>-2551.1</v>
      </c>
      <c r="G231" s="230">
        <f>G232+G233</f>
        <v>6110</v>
      </c>
      <c r="H231" s="231">
        <f>G231/G227</f>
        <v>1</v>
      </c>
      <c r="I231" s="228">
        <f t="shared" si="129"/>
        <v>5.5949999999999998</v>
      </c>
      <c r="J231" s="171">
        <f t="shared" si="130"/>
        <v>-1562.2</v>
      </c>
      <c r="K231" s="170">
        <f>G231/D231</f>
        <v>0.79600000000000004</v>
      </c>
      <c r="L231" s="220">
        <f>G231-F231</f>
        <v>8661.1</v>
      </c>
    </row>
    <row r="232" spans="1:12" ht="27" hidden="1" x14ac:dyDescent="0.2">
      <c r="A232" s="94" t="s">
        <v>84</v>
      </c>
      <c r="B232" s="95" t="s">
        <v>50</v>
      </c>
      <c r="C232" s="102">
        <v>0</v>
      </c>
      <c r="D232" s="102">
        <v>-1575290.5</v>
      </c>
      <c r="E232" s="102">
        <v>0</v>
      </c>
      <c r="F232" s="102">
        <v>-1302825.8</v>
      </c>
      <c r="G232" s="102">
        <v>-1594304.1</v>
      </c>
      <c r="H232" s="232">
        <v>0</v>
      </c>
      <c r="I232" s="229">
        <v>0</v>
      </c>
      <c r="J232" s="209">
        <f t="shared" si="130"/>
        <v>-19013.599999999999</v>
      </c>
      <c r="K232" s="210">
        <f>G232/D232</f>
        <v>1.012</v>
      </c>
      <c r="L232" s="221">
        <f>-(L62)</f>
        <v>-217897.9</v>
      </c>
    </row>
    <row r="233" spans="1:12" ht="27" hidden="1" x14ac:dyDescent="0.2">
      <c r="A233" s="94" t="s">
        <v>85</v>
      </c>
      <c r="B233" s="95" t="s">
        <v>51</v>
      </c>
      <c r="C233" s="102">
        <v>0</v>
      </c>
      <c r="D233" s="102">
        <v>1582962.7</v>
      </c>
      <c r="E233" s="102">
        <v>1092</v>
      </c>
      <c r="F233" s="102">
        <v>1300274.7</v>
      </c>
      <c r="G233" s="102">
        <v>1600414.1</v>
      </c>
      <c r="H233" s="232">
        <v>0</v>
      </c>
      <c r="I233" s="229">
        <f t="shared" si="129"/>
        <v>1465.5809999999999</v>
      </c>
      <c r="J233" s="209">
        <f t="shared" si="130"/>
        <v>17451.400000000001</v>
      </c>
      <c r="K233" s="210">
        <f>G233/D233</f>
        <v>1.0109999999999999</v>
      </c>
      <c r="L233" s="221">
        <f>L223</f>
        <v>166559</v>
      </c>
    </row>
    <row r="234" spans="1:12" ht="13.5" hidden="1" customHeight="1" x14ac:dyDescent="0.2">
      <c r="A234" s="15" t="s">
        <v>10</v>
      </c>
      <c r="B234" s="9" t="s">
        <v>9</v>
      </c>
      <c r="C234" s="114"/>
      <c r="D234" s="25"/>
      <c r="E234" s="25"/>
      <c r="F234" s="5"/>
      <c r="G234" s="5"/>
      <c r="H234" s="144"/>
      <c r="I234" s="191"/>
      <c r="J234" s="82"/>
      <c r="K234" s="81"/>
      <c r="L234" s="80"/>
    </row>
    <row r="235" spans="1:12" ht="27" hidden="1" customHeight="1" x14ac:dyDescent="0.2">
      <c r="A235" s="78"/>
      <c r="B235" s="79" t="s">
        <v>125</v>
      </c>
      <c r="C235" s="80">
        <f>C77+C158+C166+C185+C205</f>
        <v>108442.8</v>
      </c>
      <c r="D235" s="80">
        <f>D77+D158+D166+D185+D205</f>
        <v>102053.9</v>
      </c>
      <c r="E235" s="80"/>
      <c r="F235" s="80">
        <f>F77+F158+F166+F185+F205</f>
        <v>100278.1</v>
      </c>
      <c r="G235" s="80">
        <f>G77+G158+G166+G185+G205</f>
        <v>101583.7</v>
      </c>
      <c r="H235" s="143">
        <f t="shared" ref="H235:H240" si="131">G235/$G$223</f>
        <v>7.0999999999999994E-2</v>
      </c>
      <c r="I235" s="143"/>
      <c r="J235" s="85">
        <f t="shared" ref="J235:J240" si="132">G235-D235</f>
        <v>-470.2</v>
      </c>
      <c r="K235" s="84">
        <f t="shared" ref="K235:K240" si="133">G235/D235</f>
        <v>0.995</v>
      </c>
      <c r="L235" s="86" t="e">
        <f>G235-#REF!</f>
        <v>#REF!</v>
      </c>
    </row>
    <row r="236" spans="1:12" ht="13.5" hidden="1" customHeight="1" x14ac:dyDescent="0.2">
      <c r="A236" s="78" t="s">
        <v>10</v>
      </c>
      <c r="B236" s="79" t="s">
        <v>124</v>
      </c>
      <c r="C236" s="80">
        <f>C77</f>
        <v>4563.5</v>
      </c>
      <c r="D236" s="80">
        <f t="shared" ref="D236:G236" si="134">D77</f>
        <v>5753.5</v>
      </c>
      <c r="E236" s="80"/>
      <c r="F236" s="80">
        <f t="shared" ref="F236" si="135">F77</f>
        <v>10849.4</v>
      </c>
      <c r="G236" s="80">
        <f t="shared" si="134"/>
        <v>5610.5</v>
      </c>
      <c r="H236" s="143">
        <f t="shared" si="131"/>
        <v>4.0000000000000001E-3</v>
      </c>
      <c r="I236" s="143"/>
      <c r="J236" s="85">
        <f t="shared" si="132"/>
        <v>-143</v>
      </c>
      <c r="K236" s="84">
        <f t="shared" si="133"/>
        <v>0.97499999999999998</v>
      </c>
      <c r="L236" s="86" t="e">
        <f>G236-#REF!</f>
        <v>#REF!</v>
      </c>
    </row>
    <row r="237" spans="1:12" ht="13.5" hidden="1" customHeight="1" x14ac:dyDescent="0.2">
      <c r="A237" s="78"/>
      <c r="B237" s="79" t="s">
        <v>152</v>
      </c>
      <c r="C237" s="80">
        <f>C205+C185+C166</f>
        <v>97955.5</v>
      </c>
      <c r="D237" s="80">
        <f>D205+D185+D166</f>
        <v>86793.9</v>
      </c>
      <c r="E237" s="80"/>
      <c r="F237" s="80">
        <f>F205+F185+F166</f>
        <v>76455.3</v>
      </c>
      <c r="G237" s="80">
        <f>G205+G185+G166</f>
        <v>86793.9</v>
      </c>
      <c r="H237" s="143">
        <f t="shared" si="131"/>
        <v>6.0999999999999999E-2</v>
      </c>
      <c r="I237" s="143"/>
      <c r="J237" s="85">
        <f t="shared" si="132"/>
        <v>0</v>
      </c>
      <c r="K237" s="84">
        <f t="shared" si="133"/>
        <v>1</v>
      </c>
      <c r="L237" s="86" t="e">
        <f>G237-#REF!</f>
        <v>#REF!</v>
      </c>
    </row>
    <row r="238" spans="1:12" ht="13.5" hidden="1" customHeight="1" x14ac:dyDescent="0.2">
      <c r="A238" s="78" t="s">
        <v>10</v>
      </c>
      <c r="B238" s="79" t="s">
        <v>100</v>
      </c>
      <c r="C238" s="80">
        <f>C78+C169+C187+C207</f>
        <v>12187</v>
      </c>
      <c r="D238" s="80">
        <f>D78+D169+D187+D207</f>
        <v>10079.1</v>
      </c>
      <c r="E238" s="80"/>
      <c r="F238" s="80">
        <f>F78+F169+F187+F207</f>
        <v>7989.3</v>
      </c>
      <c r="G238" s="80">
        <f>G78+G169+G187+G207</f>
        <v>10079.1</v>
      </c>
      <c r="H238" s="143">
        <f t="shared" si="131"/>
        <v>7.0000000000000001E-3</v>
      </c>
      <c r="I238" s="143"/>
      <c r="J238" s="85">
        <f t="shared" si="132"/>
        <v>0</v>
      </c>
      <c r="K238" s="84">
        <f t="shared" si="133"/>
        <v>1</v>
      </c>
      <c r="L238" s="86" t="e">
        <f>G238-#REF!</f>
        <v>#REF!</v>
      </c>
    </row>
    <row r="239" spans="1:12" ht="13.5" hidden="1" customHeight="1" x14ac:dyDescent="0.2">
      <c r="A239" s="78" t="s">
        <v>10</v>
      </c>
      <c r="B239" s="83" t="s">
        <v>70</v>
      </c>
      <c r="C239" s="90"/>
      <c r="D239" s="105"/>
      <c r="E239" s="105"/>
      <c r="F239" s="105"/>
      <c r="G239" s="105"/>
      <c r="H239" s="143">
        <f t="shared" si="131"/>
        <v>0</v>
      </c>
      <c r="I239" s="143"/>
      <c r="J239" s="85">
        <f t="shared" si="132"/>
        <v>0</v>
      </c>
      <c r="K239" s="84" t="e">
        <f t="shared" si="133"/>
        <v>#DIV/0!</v>
      </c>
      <c r="L239" s="86" t="e">
        <f>G239-#REF!</f>
        <v>#REF!</v>
      </c>
    </row>
    <row r="240" spans="1:12" ht="13.5" hidden="1" customHeight="1" x14ac:dyDescent="0.2">
      <c r="A240" s="78"/>
      <c r="B240" s="83" t="s">
        <v>106</v>
      </c>
      <c r="C240" s="80">
        <f>C79+C86+C116+C160+C175+C193+C213</f>
        <v>414219.1</v>
      </c>
      <c r="D240" s="80">
        <f>D79+D86+D116+D160+D175+D193+D213</f>
        <v>1071043.6000000001</v>
      </c>
      <c r="E240" s="80"/>
      <c r="F240" s="80">
        <f>F79+F86+F116+F160+F175+F193+F213</f>
        <v>905511.4</v>
      </c>
      <c r="G240" s="80">
        <f>G79+G86+G116+G160+G175+G193+G213</f>
        <v>1056146.6000000001</v>
      </c>
      <c r="H240" s="143">
        <f t="shared" si="131"/>
        <v>0.74</v>
      </c>
      <c r="I240" s="143"/>
      <c r="J240" s="85">
        <f t="shared" si="132"/>
        <v>-14897</v>
      </c>
      <c r="K240" s="84">
        <f t="shared" si="133"/>
        <v>0.98599999999999999</v>
      </c>
      <c r="L240" s="86" t="e">
        <f>G240-#REF!</f>
        <v>#REF!</v>
      </c>
    </row>
    <row r="241" spans="1:12" x14ac:dyDescent="0.2">
      <c r="B241" s="200"/>
      <c r="C241" s="201"/>
      <c r="D241" s="202"/>
      <c r="E241" s="202"/>
      <c r="F241" s="202"/>
      <c r="G241" s="202"/>
      <c r="H241" s="29"/>
      <c r="I241" s="194"/>
      <c r="J241" s="30"/>
      <c r="K241" s="29"/>
      <c r="L241" s="27"/>
    </row>
    <row r="242" spans="1:12" x14ac:dyDescent="0.2">
      <c r="A242" s="59"/>
      <c r="D242" s="27"/>
      <c r="E242" s="27"/>
      <c r="H242" s="57" t="s">
        <v>10</v>
      </c>
      <c r="I242" s="57"/>
    </row>
    <row r="243" spans="1:12" x14ac:dyDescent="0.2">
      <c r="B243" s="63"/>
      <c r="C243" s="64"/>
      <c r="D243" s="65"/>
      <c r="E243" s="65"/>
      <c r="F243" s="34"/>
      <c r="G243" s="34"/>
      <c r="H243" s="66"/>
      <c r="I243" s="66"/>
      <c r="J243" s="66"/>
      <c r="K243" s="57" t="s">
        <v>10</v>
      </c>
      <c r="L243" s="2"/>
    </row>
    <row r="244" spans="1:12" x14ac:dyDescent="0.2">
      <c r="B244" s="67"/>
      <c r="C244" s="67"/>
      <c r="D244" s="65"/>
      <c r="E244" s="65"/>
      <c r="F244" s="66"/>
      <c r="G244" s="66"/>
      <c r="H244" s="66"/>
      <c r="I244" s="66"/>
      <c r="J244" s="68"/>
    </row>
    <row r="245" spans="1:12" x14ac:dyDescent="0.2">
      <c r="H245" s="57"/>
      <c r="I245" s="57"/>
    </row>
    <row r="246" spans="1:12" x14ac:dyDescent="0.2">
      <c r="H246" s="57"/>
      <c r="I246" s="57"/>
    </row>
    <row r="247" spans="1:12" x14ac:dyDescent="0.2">
      <c r="H247" s="57"/>
      <c r="I247" s="57"/>
    </row>
    <row r="248" spans="1:12" x14ac:dyDescent="0.2">
      <c r="H248" s="57"/>
      <c r="I248" s="57"/>
    </row>
    <row r="249" spans="1:12" x14ac:dyDescent="0.2">
      <c r="H249" s="57"/>
      <c r="I249" s="57"/>
    </row>
    <row r="250" spans="1:12" x14ac:dyDescent="0.2">
      <c r="H250" s="57"/>
      <c r="I250" s="57"/>
    </row>
    <row r="251" spans="1:12" x14ac:dyDescent="0.2">
      <c r="H251" s="57"/>
      <c r="I251" s="57"/>
    </row>
    <row r="252" spans="1:12" x14ac:dyDescent="0.2">
      <c r="H252" s="57"/>
      <c r="I252" s="57"/>
    </row>
    <row r="253" spans="1:12" x14ac:dyDescent="0.2">
      <c r="H253" s="57"/>
      <c r="I253" s="57"/>
    </row>
    <row r="254" spans="1:12" x14ac:dyDescent="0.2">
      <c r="H254" s="57"/>
      <c r="I254" s="57"/>
    </row>
    <row r="255" spans="1:12" x14ac:dyDescent="0.2">
      <c r="H255" s="57"/>
      <c r="I255" s="57"/>
    </row>
    <row r="256" spans="1:12" x14ac:dyDescent="0.2">
      <c r="H256" s="57"/>
      <c r="I256" s="57"/>
    </row>
    <row r="257" spans="8:9" x14ac:dyDescent="0.2">
      <c r="H257" s="57"/>
      <c r="I257" s="57"/>
    </row>
    <row r="258" spans="8:9" x14ac:dyDescent="0.2">
      <c r="H258" s="57"/>
      <c r="I258" s="57"/>
    </row>
    <row r="259" spans="8:9" x14ac:dyDescent="0.2">
      <c r="H259" s="57"/>
      <c r="I259" s="57"/>
    </row>
    <row r="260" spans="8:9" x14ac:dyDescent="0.2">
      <c r="H260" s="57"/>
      <c r="I260" s="57"/>
    </row>
    <row r="261" spans="8:9" x14ac:dyDescent="0.2">
      <c r="H261" s="57"/>
      <c r="I261" s="57"/>
    </row>
    <row r="262" spans="8:9" x14ac:dyDescent="0.2">
      <c r="H262" s="57"/>
      <c r="I262" s="57"/>
    </row>
    <row r="263" spans="8:9" x14ac:dyDescent="0.2">
      <c r="H263" s="57"/>
      <c r="I263" s="57"/>
    </row>
    <row r="264" spans="8:9" x14ac:dyDescent="0.2">
      <c r="H264" s="57"/>
      <c r="I264" s="57"/>
    </row>
    <row r="265" spans="8:9" x14ac:dyDescent="0.2">
      <c r="H265" s="57"/>
      <c r="I265" s="57"/>
    </row>
    <row r="266" spans="8:9" x14ac:dyDescent="0.2">
      <c r="H266" s="57"/>
      <c r="I266" s="57"/>
    </row>
    <row r="267" spans="8:9" x14ac:dyDescent="0.2">
      <c r="H267" s="57"/>
      <c r="I267" s="57"/>
    </row>
    <row r="268" spans="8:9" x14ac:dyDescent="0.2">
      <c r="H268" s="57"/>
      <c r="I268" s="57"/>
    </row>
    <row r="269" spans="8:9" x14ac:dyDescent="0.2">
      <c r="H269" s="57"/>
      <c r="I269" s="57"/>
    </row>
    <row r="270" spans="8:9" x14ac:dyDescent="0.2">
      <c r="H270" s="57"/>
      <c r="I270" s="57"/>
    </row>
    <row r="271" spans="8:9" x14ac:dyDescent="0.2">
      <c r="H271" s="57"/>
      <c r="I271" s="57"/>
    </row>
    <row r="272" spans="8:9" x14ac:dyDescent="0.2">
      <c r="H272" s="57"/>
      <c r="I272" s="57"/>
    </row>
    <row r="273" spans="8:9" x14ac:dyDescent="0.2">
      <c r="H273" s="57"/>
      <c r="I273" s="57"/>
    </row>
    <row r="274" spans="8:9" x14ac:dyDescent="0.2">
      <c r="H274" s="57"/>
      <c r="I274" s="57"/>
    </row>
    <row r="275" spans="8:9" x14ac:dyDescent="0.2">
      <c r="H275" s="57"/>
      <c r="I275" s="57"/>
    </row>
    <row r="276" spans="8:9" x14ac:dyDescent="0.2">
      <c r="H276" s="57"/>
      <c r="I276" s="57"/>
    </row>
    <row r="277" spans="8:9" x14ac:dyDescent="0.2">
      <c r="H277" s="57"/>
      <c r="I277" s="57"/>
    </row>
    <row r="278" spans="8:9" x14ac:dyDescent="0.2">
      <c r="H278" s="57"/>
      <c r="I278" s="57"/>
    </row>
    <row r="279" spans="8:9" x14ac:dyDescent="0.2">
      <c r="H279" s="57"/>
      <c r="I279" s="57"/>
    </row>
    <row r="280" spans="8:9" x14ac:dyDescent="0.2">
      <c r="H280" s="57"/>
      <c r="I280" s="57"/>
    </row>
    <row r="281" spans="8:9" x14ac:dyDescent="0.2">
      <c r="H281" s="57"/>
      <c r="I281" s="57"/>
    </row>
    <row r="282" spans="8:9" x14ac:dyDescent="0.2">
      <c r="H282" s="57"/>
      <c r="I282" s="57"/>
    </row>
    <row r="283" spans="8:9" x14ac:dyDescent="0.2">
      <c r="H283" s="57"/>
      <c r="I283" s="57"/>
    </row>
    <row r="284" spans="8:9" x14ac:dyDescent="0.2">
      <c r="H284" s="57"/>
      <c r="I284" s="57"/>
    </row>
    <row r="285" spans="8:9" x14ac:dyDescent="0.2">
      <c r="H285" s="57"/>
      <c r="I285" s="57"/>
    </row>
    <row r="286" spans="8:9" x14ac:dyDescent="0.2">
      <c r="H286" s="57"/>
      <c r="I286" s="57"/>
    </row>
    <row r="287" spans="8:9" x14ac:dyDescent="0.2">
      <c r="H287" s="57"/>
      <c r="I287" s="57"/>
    </row>
    <row r="288" spans="8:9" x14ac:dyDescent="0.2">
      <c r="H288" s="57"/>
      <c r="I288" s="57"/>
    </row>
    <row r="289" spans="8:9" x14ac:dyDescent="0.2">
      <c r="H289" s="57"/>
      <c r="I289" s="57"/>
    </row>
    <row r="290" spans="8:9" x14ac:dyDescent="0.2">
      <c r="H290" s="57"/>
      <c r="I290" s="57"/>
    </row>
    <row r="291" spans="8:9" x14ac:dyDescent="0.2">
      <c r="H291" s="57"/>
      <c r="I291" s="57"/>
    </row>
    <row r="292" spans="8:9" x14ac:dyDescent="0.2">
      <c r="H292" s="57"/>
      <c r="I292" s="57"/>
    </row>
    <row r="293" spans="8:9" x14ac:dyDescent="0.2">
      <c r="H293" s="57"/>
      <c r="I293" s="57"/>
    </row>
    <row r="294" spans="8:9" x14ac:dyDescent="0.2">
      <c r="H294" s="57"/>
      <c r="I294" s="57"/>
    </row>
    <row r="295" spans="8:9" x14ac:dyDescent="0.2">
      <c r="H295" s="57"/>
      <c r="I295" s="57"/>
    </row>
    <row r="296" spans="8:9" x14ac:dyDescent="0.2">
      <c r="H296" s="57"/>
      <c r="I296" s="57"/>
    </row>
    <row r="297" spans="8:9" x14ac:dyDescent="0.2">
      <c r="H297" s="57"/>
      <c r="I297" s="57"/>
    </row>
    <row r="298" spans="8:9" x14ac:dyDescent="0.2">
      <c r="H298" s="57"/>
      <c r="I298" s="57"/>
    </row>
    <row r="299" spans="8:9" x14ac:dyDescent="0.2">
      <c r="H299" s="57"/>
      <c r="I299" s="57"/>
    </row>
    <row r="300" spans="8:9" x14ac:dyDescent="0.2">
      <c r="H300" s="57"/>
      <c r="I300" s="57"/>
    </row>
    <row r="301" spans="8:9" x14ac:dyDescent="0.2">
      <c r="H301" s="57"/>
      <c r="I301" s="57"/>
    </row>
    <row r="302" spans="8:9" x14ac:dyDescent="0.2">
      <c r="H302" s="57"/>
      <c r="I302" s="57"/>
    </row>
    <row r="303" spans="8:9" x14ac:dyDescent="0.2">
      <c r="H303" s="57"/>
      <c r="I303" s="57"/>
    </row>
    <row r="304" spans="8:9" x14ac:dyDescent="0.2">
      <c r="H304" s="57"/>
      <c r="I304" s="57"/>
    </row>
    <row r="305" spans="8:9" x14ac:dyDescent="0.2">
      <c r="H305" s="57"/>
      <c r="I305" s="57"/>
    </row>
    <row r="306" spans="8:9" x14ac:dyDescent="0.2">
      <c r="H306" s="57"/>
      <c r="I306" s="57"/>
    </row>
    <row r="307" spans="8:9" x14ac:dyDescent="0.2">
      <c r="H307" s="57"/>
      <c r="I307" s="57"/>
    </row>
    <row r="308" spans="8:9" x14ac:dyDescent="0.2">
      <c r="H308" s="57"/>
      <c r="I308" s="57"/>
    </row>
    <row r="309" spans="8:9" x14ac:dyDescent="0.2">
      <c r="H309" s="57"/>
      <c r="I309" s="57"/>
    </row>
    <row r="310" spans="8:9" x14ac:dyDescent="0.2">
      <c r="H310" s="57"/>
      <c r="I310" s="57"/>
    </row>
    <row r="311" spans="8:9" x14ac:dyDescent="0.2">
      <c r="H311" s="57"/>
      <c r="I311" s="57"/>
    </row>
    <row r="312" spans="8:9" x14ac:dyDescent="0.2">
      <c r="H312" s="57"/>
      <c r="I312" s="57"/>
    </row>
    <row r="313" spans="8:9" x14ac:dyDescent="0.2">
      <c r="H313" s="57"/>
      <c r="I313" s="57"/>
    </row>
    <row r="314" spans="8:9" x14ac:dyDescent="0.2">
      <c r="H314" s="57"/>
      <c r="I314" s="57"/>
    </row>
    <row r="315" spans="8:9" x14ac:dyDescent="0.2">
      <c r="H315" s="57"/>
      <c r="I315" s="57"/>
    </row>
    <row r="316" spans="8:9" x14ac:dyDescent="0.2">
      <c r="H316" s="57"/>
      <c r="I316" s="57"/>
    </row>
    <row r="317" spans="8:9" x14ac:dyDescent="0.2">
      <c r="H317" s="57"/>
      <c r="I317" s="57"/>
    </row>
    <row r="318" spans="8:9" x14ac:dyDescent="0.2">
      <c r="H318" s="57"/>
      <c r="I318" s="57"/>
    </row>
    <row r="319" spans="8:9" x14ac:dyDescent="0.2">
      <c r="H319" s="57"/>
      <c r="I319" s="57"/>
    </row>
    <row r="320" spans="8:9" x14ac:dyDescent="0.2">
      <c r="H320" s="57"/>
      <c r="I320" s="57"/>
    </row>
    <row r="321" spans="8:9" x14ac:dyDescent="0.2">
      <c r="H321" s="57"/>
      <c r="I321" s="57"/>
    </row>
    <row r="322" spans="8:9" x14ac:dyDescent="0.2">
      <c r="H322" s="57"/>
      <c r="I322" s="57"/>
    </row>
    <row r="323" spans="8:9" x14ac:dyDescent="0.2">
      <c r="H323" s="57"/>
      <c r="I323" s="57"/>
    </row>
    <row r="324" spans="8:9" x14ac:dyDescent="0.2">
      <c r="H324" s="57"/>
      <c r="I324" s="57"/>
    </row>
    <row r="325" spans="8:9" x14ac:dyDescent="0.2">
      <c r="H325" s="57"/>
      <c r="I325" s="57"/>
    </row>
    <row r="326" spans="8:9" x14ac:dyDescent="0.2">
      <c r="H326" s="57"/>
      <c r="I326" s="57"/>
    </row>
    <row r="327" spans="8:9" x14ac:dyDescent="0.2">
      <c r="H327" s="57"/>
      <c r="I327" s="57"/>
    </row>
    <row r="328" spans="8:9" x14ac:dyDescent="0.2">
      <c r="H328" s="57"/>
      <c r="I328" s="57"/>
    </row>
    <row r="329" spans="8:9" x14ac:dyDescent="0.2">
      <c r="H329" s="57"/>
      <c r="I329" s="57"/>
    </row>
    <row r="330" spans="8:9" x14ac:dyDescent="0.2">
      <c r="H330" s="57"/>
      <c r="I330" s="57"/>
    </row>
    <row r="331" spans="8:9" x14ac:dyDescent="0.2">
      <c r="H331" s="57"/>
      <c r="I331" s="57"/>
    </row>
    <row r="332" spans="8:9" x14ac:dyDescent="0.2">
      <c r="H332" s="57"/>
      <c r="I332" s="57"/>
    </row>
    <row r="333" spans="8:9" x14ac:dyDescent="0.2">
      <c r="H333" s="57"/>
      <c r="I333" s="57"/>
    </row>
    <row r="334" spans="8:9" x14ac:dyDescent="0.2">
      <c r="H334" s="57"/>
      <c r="I334" s="57"/>
    </row>
    <row r="335" spans="8:9" x14ac:dyDescent="0.2">
      <c r="H335" s="57"/>
      <c r="I335" s="57"/>
    </row>
    <row r="336" spans="8:9" x14ac:dyDescent="0.2">
      <c r="H336" s="57"/>
      <c r="I336" s="57"/>
    </row>
    <row r="337" spans="8:9" x14ac:dyDescent="0.2">
      <c r="H337" s="57"/>
      <c r="I337" s="57"/>
    </row>
    <row r="338" spans="8:9" x14ac:dyDescent="0.2">
      <c r="H338" s="57"/>
      <c r="I338" s="57"/>
    </row>
    <row r="339" spans="8:9" x14ac:dyDescent="0.2">
      <c r="H339" s="57"/>
      <c r="I339" s="57"/>
    </row>
    <row r="340" spans="8:9" x14ac:dyDescent="0.2">
      <c r="H340" s="57"/>
      <c r="I340" s="57"/>
    </row>
    <row r="341" spans="8:9" x14ac:dyDescent="0.2">
      <c r="H341" s="57"/>
      <c r="I341" s="57"/>
    </row>
    <row r="342" spans="8:9" x14ac:dyDescent="0.2">
      <c r="H342" s="57"/>
      <c r="I342" s="57"/>
    </row>
    <row r="343" spans="8:9" x14ac:dyDescent="0.2">
      <c r="H343" s="57"/>
      <c r="I343" s="57"/>
    </row>
    <row r="344" spans="8:9" x14ac:dyDescent="0.2">
      <c r="H344" s="57"/>
      <c r="I344" s="57"/>
    </row>
    <row r="345" spans="8:9" x14ac:dyDescent="0.2">
      <c r="H345" s="57"/>
      <c r="I345" s="57"/>
    </row>
    <row r="346" spans="8:9" x14ac:dyDescent="0.2">
      <c r="H346" s="57"/>
      <c r="I346" s="57"/>
    </row>
    <row r="347" spans="8:9" x14ac:dyDescent="0.2">
      <c r="H347" s="57"/>
      <c r="I347" s="57"/>
    </row>
    <row r="348" spans="8:9" x14ac:dyDescent="0.2">
      <c r="H348" s="57"/>
      <c r="I348" s="57"/>
    </row>
    <row r="349" spans="8:9" x14ac:dyDescent="0.2">
      <c r="H349" s="57"/>
      <c r="I349" s="57"/>
    </row>
    <row r="350" spans="8:9" x14ac:dyDescent="0.2">
      <c r="H350" s="57"/>
      <c r="I350" s="57"/>
    </row>
    <row r="351" spans="8:9" x14ac:dyDescent="0.2">
      <c r="H351" s="57"/>
      <c r="I351" s="57"/>
    </row>
    <row r="352" spans="8:9" x14ac:dyDescent="0.2">
      <c r="H352" s="57"/>
      <c r="I352" s="57"/>
    </row>
    <row r="353" spans="8:9" x14ac:dyDescent="0.2">
      <c r="H353" s="57"/>
      <c r="I353" s="57"/>
    </row>
    <row r="354" spans="8:9" x14ac:dyDescent="0.2">
      <c r="H354" s="57"/>
      <c r="I354" s="57"/>
    </row>
    <row r="355" spans="8:9" x14ac:dyDescent="0.2">
      <c r="H355" s="57"/>
      <c r="I355" s="57"/>
    </row>
    <row r="356" spans="8:9" x14ac:dyDescent="0.2">
      <c r="H356" s="57"/>
      <c r="I356" s="57"/>
    </row>
    <row r="357" spans="8:9" x14ac:dyDescent="0.2">
      <c r="H357" s="57"/>
      <c r="I357" s="57"/>
    </row>
    <row r="358" spans="8:9" x14ac:dyDescent="0.2">
      <c r="H358" s="57"/>
      <c r="I358" s="57"/>
    </row>
    <row r="359" spans="8:9" x14ac:dyDescent="0.2">
      <c r="H359" s="57"/>
      <c r="I359" s="57"/>
    </row>
    <row r="360" spans="8:9" x14ac:dyDescent="0.2">
      <c r="H360" s="57"/>
      <c r="I360" s="57"/>
    </row>
    <row r="361" spans="8:9" x14ac:dyDescent="0.2">
      <c r="H361" s="57"/>
      <c r="I361" s="57"/>
    </row>
    <row r="362" spans="8:9" x14ac:dyDescent="0.2">
      <c r="H362" s="57"/>
      <c r="I362" s="57"/>
    </row>
    <row r="363" spans="8:9" x14ac:dyDescent="0.2">
      <c r="H363" s="57"/>
      <c r="I363" s="57"/>
    </row>
    <row r="364" spans="8:9" x14ac:dyDescent="0.2">
      <c r="H364" s="57"/>
      <c r="I364" s="57"/>
    </row>
    <row r="365" spans="8:9" x14ac:dyDescent="0.2">
      <c r="H365" s="57"/>
      <c r="I365" s="57"/>
    </row>
    <row r="366" spans="8:9" x14ac:dyDescent="0.2">
      <c r="H366" s="57"/>
      <c r="I366" s="57"/>
    </row>
    <row r="367" spans="8:9" x14ac:dyDescent="0.2">
      <c r="H367" s="57"/>
      <c r="I367" s="57"/>
    </row>
    <row r="368" spans="8:9" x14ac:dyDescent="0.2">
      <c r="H368" s="57"/>
      <c r="I368" s="57"/>
    </row>
    <row r="369" spans="8:9" x14ac:dyDescent="0.2">
      <c r="H369" s="57"/>
      <c r="I369" s="57"/>
    </row>
    <row r="370" spans="8:9" x14ac:dyDescent="0.2">
      <c r="H370" s="57"/>
      <c r="I370" s="57"/>
    </row>
    <row r="371" spans="8:9" x14ac:dyDescent="0.2">
      <c r="H371" s="57"/>
      <c r="I371" s="57"/>
    </row>
    <row r="372" spans="8:9" x14ac:dyDescent="0.2">
      <c r="H372" s="57"/>
      <c r="I372" s="57"/>
    </row>
    <row r="373" spans="8:9" x14ac:dyDescent="0.2">
      <c r="H373" s="57"/>
      <c r="I373" s="57"/>
    </row>
    <row r="374" spans="8:9" x14ac:dyDescent="0.2">
      <c r="H374" s="57"/>
      <c r="I374" s="57"/>
    </row>
    <row r="375" spans="8:9" x14ac:dyDescent="0.2">
      <c r="H375" s="57"/>
      <c r="I375" s="57"/>
    </row>
    <row r="376" spans="8:9" x14ac:dyDescent="0.2">
      <c r="H376" s="57"/>
      <c r="I376" s="57"/>
    </row>
    <row r="377" spans="8:9" x14ac:dyDescent="0.2">
      <c r="H377" s="57"/>
      <c r="I377" s="57"/>
    </row>
    <row r="378" spans="8:9" x14ac:dyDescent="0.2">
      <c r="H378" s="57"/>
      <c r="I378" s="57"/>
    </row>
    <row r="379" spans="8:9" x14ac:dyDescent="0.2">
      <c r="H379" s="57"/>
      <c r="I379" s="57"/>
    </row>
    <row r="380" spans="8:9" x14ac:dyDescent="0.2">
      <c r="H380" s="57"/>
      <c r="I380" s="57"/>
    </row>
    <row r="381" spans="8:9" x14ac:dyDescent="0.2">
      <c r="H381" s="57"/>
      <c r="I381" s="57"/>
    </row>
    <row r="382" spans="8:9" x14ac:dyDescent="0.2">
      <c r="H382" s="57"/>
      <c r="I382" s="57"/>
    </row>
    <row r="383" spans="8:9" x14ac:dyDescent="0.2">
      <c r="H383" s="57"/>
      <c r="I383" s="57"/>
    </row>
    <row r="384" spans="8:9" x14ac:dyDescent="0.2">
      <c r="H384" s="57"/>
      <c r="I384" s="57"/>
    </row>
    <row r="385" spans="8:9" x14ac:dyDescent="0.2">
      <c r="H385" s="57"/>
      <c r="I385" s="57"/>
    </row>
    <row r="386" spans="8:9" x14ac:dyDescent="0.2">
      <c r="H386" s="57"/>
      <c r="I386" s="57"/>
    </row>
    <row r="387" spans="8:9" x14ac:dyDescent="0.2">
      <c r="H387" s="57"/>
      <c r="I387" s="57"/>
    </row>
    <row r="388" spans="8:9" x14ac:dyDescent="0.2">
      <c r="H388" s="57"/>
      <c r="I388" s="57"/>
    </row>
    <row r="389" spans="8:9" x14ac:dyDescent="0.2">
      <c r="H389" s="57"/>
      <c r="I389" s="57"/>
    </row>
    <row r="390" spans="8:9" x14ac:dyDescent="0.2">
      <c r="H390" s="57"/>
      <c r="I390" s="57"/>
    </row>
    <row r="391" spans="8:9" x14ac:dyDescent="0.2">
      <c r="H391" s="57"/>
      <c r="I391" s="57"/>
    </row>
    <row r="392" spans="8:9" x14ac:dyDescent="0.2">
      <c r="H392" s="57"/>
      <c r="I392" s="57"/>
    </row>
    <row r="393" spans="8:9" x14ac:dyDescent="0.2">
      <c r="H393" s="57"/>
      <c r="I393" s="57"/>
    </row>
    <row r="394" spans="8:9" x14ac:dyDescent="0.2">
      <c r="H394" s="57"/>
      <c r="I394" s="57"/>
    </row>
    <row r="395" spans="8:9" x14ac:dyDescent="0.2">
      <c r="H395" s="57"/>
      <c r="I395" s="57"/>
    </row>
    <row r="396" spans="8:9" x14ac:dyDescent="0.2">
      <c r="H396" s="57"/>
      <c r="I396" s="57"/>
    </row>
    <row r="397" spans="8:9" x14ac:dyDescent="0.2">
      <c r="H397" s="57"/>
      <c r="I397" s="57"/>
    </row>
    <row r="398" spans="8:9" x14ac:dyDescent="0.2">
      <c r="H398" s="57"/>
      <c r="I398" s="57"/>
    </row>
    <row r="399" spans="8:9" x14ac:dyDescent="0.2">
      <c r="H399" s="57"/>
      <c r="I399" s="57"/>
    </row>
    <row r="400" spans="8:9" x14ac:dyDescent="0.2">
      <c r="H400" s="57"/>
      <c r="I400" s="57"/>
    </row>
    <row r="401" spans="8:9" x14ac:dyDescent="0.2">
      <c r="H401" s="57"/>
      <c r="I401" s="57"/>
    </row>
    <row r="402" spans="8:9" x14ac:dyDescent="0.2">
      <c r="H402" s="57"/>
      <c r="I402" s="57"/>
    </row>
    <row r="403" spans="8:9" x14ac:dyDescent="0.2">
      <c r="H403" s="57"/>
      <c r="I403" s="57"/>
    </row>
    <row r="404" spans="8:9" x14ac:dyDescent="0.2">
      <c r="H404" s="57"/>
      <c r="I404" s="57"/>
    </row>
    <row r="405" spans="8:9" x14ac:dyDescent="0.2">
      <c r="H405" s="57"/>
      <c r="I405" s="57"/>
    </row>
    <row r="406" spans="8:9" x14ac:dyDescent="0.2">
      <c r="H406" s="57"/>
      <c r="I406" s="57"/>
    </row>
    <row r="407" spans="8:9" x14ac:dyDescent="0.2">
      <c r="H407" s="57"/>
      <c r="I407" s="57"/>
    </row>
    <row r="408" spans="8:9" x14ac:dyDescent="0.2">
      <c r="H408" s="57"/>
      <c r="I408" s="57"/>
    </row>
    <row r="409" spans="8:9" x14ac:dyDescent="0.2">
      <c r="H409" s="57"/>
      <c r="I409" s="57"/>
    </row>
    <row r="410" spans="8:9" x14ac:dyDescent="0.2">
      <c r="H410" s="57"/>
      <c r="I410" s="57"/>
    </row>
    <row r="411" spans="8:9" x14ac:dyDescent="0.2">
      <c r="H411" s="57"/>
      <c r="I411" s="57"/>
    </row>
    <row r="412" spans="8:9" x14ac:dyDescent="0.2">
      <c r="H412" s="57"/>
      <c r="I412" s="57"/>
    </row>
    <row r="413" spans="8:9" x14ac:dyDescent="0.2">
      <c r="H413" s="57"/>
      <c r="I413" s="57"/>
    </row>
    <row r="414" spans="8:9" x14ac:dyDescent="0.2">
      <c r="H414" s="57"/>
      <c r="I414" s="57"/>
    </row>
    <row r="415" spans="8:9" x14ac:dyDescent="0.2">
      <c r="H415" s="57"/>
      <c r="I415" s="57"/>
    </row>
    <row r="416" spans="8:9" x14ac:dyDescent="0.2">
      <c r="H416" s="57"/>
      <c r="I416" s="57"/>
    </row>
    <row r="417" spans="8:9" x14ac:dyDescent="0.2">
      <c r="H417" s="57"/>
      <c r="I417" s="57"/>
    </row>
    <row r="418" spans="8:9" x14ac:dyDescent="0.2">
      <c r="H418" s="57"/>
      <c r="I418" s="57"/>
    </row>
    <row r="419" spans="8:9" x14ac:dyDescent="0.2">
      <c r="H419" s="57"/>
      <c r="I419" s="57"/>
    </row>
    <row r="420" spans="8:9" x14ac:dyDescent="0.2">
      <c r="H420" s="57"/>
      <c r="I420" s="57"/>
    </row>
    <row r="421" spans="8:9" x14ac:dyDescent="0.2">
      <c r="H421" s="57"/>
      <c r="I421" s="57"/>
    </row>
    <row r="422" spans="8:9" x14ac:dyDescent="0.2">
      <c r="H422" s="57"/>
      <c r="I422" s="57"/>
    </row>
    <row r="423" spans="8:9" x14ac:dyDescent="0.2">
      <c r="H423" s="57"/>
      <c r="I423" s="57"/>
    </row>
    <row r="424" spans="8:9" x14ac:dyDescent="0.2">
      <c r="H424" s="57"/>
      <c r="I424" s="57"/>
    </row>
    <row r="425" spans="8:9" x14ac:dyDescent="0.2">
      <c r="H425" s="57"/>
      <c r="I425" s="57"/>
    </row>
    <row r="426" spans="8:9" x14ac:dyDescent="0.2">
      <c r="H426" s="57"/>
      <c r="I426" s="57"/>
    </row>
    <row r="427" spans="8:9" x14ac:dyDescent="0.2">
      <c r="H427" s="57"/>
      <c r="I427" s="57"/>
    </row>
    <row r="428" spans="8:9" x14ac:dyDescent="0.2">
      <c r="H428" s="57"/>
      <c r="I428" s="57"/>
    </row>
    <row r="429" spans="8:9" x14ac:dyDescent="0.2">
      <c r="H429" s="57"/>
      <c r="I429" s="57"/>
    </row>
    <row r="430" spans="8:9" x14ac:dyDescent="0.2">
      <c r="H430" s="57"/>
      <c r="I430" s="57"/>
    </row>
    <row r="431" spans="8:9" x14ac:dyDescent="0.2">
      <c r="H431" s="57"/>
      <c r="I431" s="57"/>
    </row>
    <row r="432" spans="8:9" x14ac:dyDescent="0.2">
      <c r="H432" s="57"/>
      <c r="I432" s="57"/>
    </row>
    <row r="433" spans="8:9" x14ac:dyDescent="0.2">
      <c r="H433" s="57"/>
      <c r="I433" s="57"/>
    </row>
    <row r="434" spans="8:9" x14ac:dyDescent="0.2">
      <c r="H434" s="57"/>
      <c r="I434" s="57"/>
    </row>
    <row r="435" spans="8:9" x14ac:dyDescent="0.2">
      <c r="H435" s="57"/>
      <c r="I435" s="57"/>
    </row>
    <row r="436" spans="8:9" x14ac:dyDescent="0.2">
      <c r="H436" s="57"/>
      <c r="I436" s="57"/>
    </row>
    <row r="437" spans="8:9" x14ac:dyDescent="0.2">
      <c r="H437" s="57"/>
      <c r="I437" s="57"/>
    </row>
    <row r="438" spans="8:9" x14ac:dyDescent="0.2">
      <c r="H438" s="57"/>
      <c r="I438" s="57"/>
    </row>
    <row r="439" spans="8:9" x14ac:dyDescent="0.2">
      <c r="H439" s="57"/>
      <c r="I439" s="57"/>
    </row>
    <row r="440" spans="8:9" x14ac:dyDescent="0.2">
      <c r="H440" s="57"/>
      <c r="I440" s="57"/>
    </row>
    <row r="441" spans="8:9" x14ac:dyDescent="0.2">
      <c r="H441" s="57"/>
      <c r="I441" s="57"/>
    </row>
    <row r="442" spans="8:9" x14ac:dyDescent="0.2">
      <c r="H442" s="57"/>
      <c r="I442" s="57"/>
    </row>
    <row r="443" spans="8:9" x14ac:dyDescent="0.2">
      <c r="H443" s="57"/>
      <c r="I443" s="57"/>
    </row>
    <row r="444" spans="8:9" x14ac:dyDescent="0.2">
      <c r="H444" s="57"/>
      <c r="I444" s="57"/>
    </row>
    <row r="445" spans="8:9" x14ac:dyDescent="0.2">
      <c r="H445" s="57"/>
      <c r="I445" s="57"/>
    </row>
    <row r="446" spans="8:9" x14ac:dyDescent="0.2">
      <c r="H446" s="57"/>
      <c r="I446" s="57"/>
    </row>
    <row r="447" spans="8:9" x14ac:dyDescent="0.2">
      <c r="H447" s="57"/>
      <c r="I447" s="57"/>
    </row>
    <row r="448" spans="8:9" x14ac:dyDescent="0.2">
      <c r="H448" s="57"/>
      <c r="I448" s="57"/>
    </row>
    <row r="449" spans="8:9" x14ac:dyDescent="0.2">
      <c r="H449" s="57"/>
      <c r="I449" s="57"/>
    </row>
    <row r="450" spans="8:9" x14ac:dyDescent="0.2">
      <c r="H450" s="57"/>
      <c r="I450" s="57"/>
    </row>
    <row r="451" spans="8:9" x14ac:dyDescent="0.2">
      <c r="H451" s="57"/>
      <c r="I451" s="57"/>
    </row>
    <row r="452" spans="8:9" x14ac:dyDescent="0.2">
      <c r="H452" s="57"/>
      <c r="I452" s="57"/>
    </row>
    <row r="453" spans="8:9" x14ac:dyDescent="0.2">
      <c r="H453" s="57"/>
      <c r="I453" s="57"/>
    </row>
    <row r="454" spans="8:9" x14ac:dyDescent="0.2">
      <c r="H454" s="57"/>
      <c r="I454" s="57"/>
    </row>
    <row r="455" spans="8:9" x14ac:dyDescent="0.2">
      <c r="H455" s="57"/>
      <c r="I455" s="57"/>
    </row>
    <row r="456" spans="8:9" x14ac:dyDescent="0.2">
      <c r="H456" s="57"/>
      <c r="I456" s="57"/>
    </row>
    <row r="457" spans="8:9" x14ac:dyDescent="0.2">
      <c r="H457" s="57"/>
      <c r="I457" s="57"/>
    </row>
    <row r="458" spans="8:9" x14ac:dyDescent="0.2">
      <c r="H458" s="57"/>
      <c r="I458" s="57"/>
    </row>
    <row r="459" spans="8:9" x14ac:dyDescent="0.2">
      <c r="H459" s="57"/>
      <c r="I459" s="57"/>
    </row>
    <row r="460" spans="8:9" x14ac:dyDescent="0.2">
      <c r="H460" s="57"/>
      <c r="I460" s="57"/>
    </row>
    <row r="461" spans="8:9" x14ac:dyDescent="0.2">
      <c r="H461" s="57"/>
      <c r="I461" s="57"/>
    </row>
    <row r="462" spans="8:9" x14ac:dyDescent="0.2">
      <c r="H462" s="57"/>
      <c r="I462" s="57"/>
    </row>
    <row r="463" spans="8:9" x14ac:dyDescent="0.2">
      <c r="H463" s="57"/>
      <c r="I463" s="57"/>
    </row>
    <row r="464" spans="8:9" x14ac:dyDescent="0.2">
      <c r="H464" s="57"/>
      <c r="I464" s="57"/>
    </row>
    <row r="465" spans="8:9" x14ac:dyDescent="0.2">
      <c r="H465" s="57"/>
      <c r="I465" s="57"/>
    </row>
    <row r="466" spans="8:9" x14ac:dyDescent="0.2">
      <c r="H466" s="57"/>
      <c r="I466" s="57"/>
    </row>
    <row r="467" spans="8:9" x14ac:dyDescent="0.2">
      <c r="H467" s="57"/>
      <c r="I467" s="57"/>
    </row>
    <row r="468" spans="8:9" x14ac:dyDescent="0.2">
      <c r="H468" s="57"/>
      <c r="I468" s="57"/>
    </row>
    <row r="469" spans="8:9" x14ac:dyDescent="0.2">
      <c r="H469" s="57"/>
      <c r="I469" s="57"/>
    </row>
    <row r="470" spans="8:9" x14ac:dyDescent="0.2">
      <c r="H470" s="57"/>
      <c r="I470" s="57"/>
    </row>
    <row r="471" spans="8:9" x14ac:dyDescent="0.2">
      <c r="H471" s="57"/>
      <c r="I471" s="57"/>
    </row>
    <row r="472" spans="8:9" x14ac:dyDescent="0.2">
      <c r="H472" s="57"/>
      <c r="I472" s="57"/>
    </row>
    <row r="473" spans="8:9" x14ac:dyDescent="0.2">
      <c r="H473" s="57"/>
      <c r="I473" s="57"/>
    </row>
    <row r="474" spans="8:9" x14ac:dyDescent="0.2">
      <c r="H474" s="57"/>
      <c r="I474" s="57"/>
    </row>
    <row r="475" spans="8:9" x14ac:dyDescent="0.2">
      <c r="H475" s="57"/>
      <c r="I475" s="57"/>
    </row>
    <row r="476" spans="8:9" x14ac:dyDescent="0.2">
      <c r="H476" s="57"/>
      <c r="I476" s="57"/>
    </row>
    <row r="477" spans="8:9" x14ac:dyDescent="0.2">
      <c r="H477" s="57"/>
      <c r="I477" s="57"/>
    </row>
    <row r="478" spans="8:9" x14ac:dyDescent="0.2">
      <c r="H478" s="57"/>
      <c r="I478" s="57"/>
    </row>
    <row r="479" spans="8:9" x14ac:dyDescent="0.2">
      <c r="H479" s="57"/>
      <c r="I479" s="57"/>
    </row>
    <row r="480" spans="8:9" x14ac:dyDescent="0.2">
      <c r="H480" s="57"/>
      <c r="I480" s="57"/>
    </row>
    <row r="481" spans="8:9" x14ac:dyDescent="0.2">
      <c r="H481" s="57"/>
      <c r="I481" s="57"/>
    </row>
    <row r="482" spans="8:9" x14ac:dyDescent="0.2">
      <c r="H482" s="57"/>
      <c r="I482" s="57"/>
    </row>
    <row r="483" spans="8:9" x14ac:dyDescent="0.2">
      <c r="H483" s="57"/>
      <c r="I483" s="57"/>
    </row>
    <row r="484" spans="8:9" x14ac:dyDescent="0.2">
      <c r="H484" s="57"/>
      <c r="I484" s="57"/>
    </row>
    <row r="485" spans="8:9" x14ac:dyDescent="0.2">
      <c r="H485" s="57"/>
      <c r="I485" s="57"/>
    </row>
    <row r="486" spans="8:9" x14ac:dyDescent="0.2">
      <c r="H486" s="57"/>
      <c r="I486" s="57"/>
    </row>
    <row r="487" spans="8:9" x14ac:dyDescent="0.2">
      <c r="H487" s="57"/>
      <c r="I487" s="57"/>
    </row>
    <row r="488" spans="8:9" x14ac:dyDescent="0.2">
      <c r="H488" s="57"/>
      <c r="I488" s="57"/>
    </row>
    <row r="489" spans="8:9" x14ac:dyDescent="0.2">
      <c r="H489" s="57"/>
      <c r="I489" s="57"/>
    </row>
    <row r="490" spans="8:9" x14ac:dyDescent="0.2">
      <c r="H490" s="57"/>
      <c r="I490" s="57"/>
    </row>
    <row r="491" spans="8:9" x14ac:dyDescent="0.2">
      <c r="H491" s="57"/>
      <c r="I491" s="57"/>
    </row>
    <row r="492" spans="8:9" x14ac:dyDescent="0.2">
      <c r="H492" s="57"/>
      <c r="I492" s="57"/>
    </row>
    <row r="493" spans="8:9" x14ac:dyDescent="0.2">
      <c r="H493" s="57"/>
      <c r="I493" s="57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25:H226"/>
    <mergeCell ref="J225:J226"/>
    <mergeCell ref="K225:K226"/>
    <mergeCell ref="H1:L1"/>
    <mergeCell ref="L225:L226"/>
    <mergeCell ref="A2:K2"/>
    <mergeCell ref="C225:C226"/>
    <mergeCell ref="D225:D226"/>
    <mergeCell ref="G225:G226"/>
    <mergeCell ref="E225:E226"/>
    <mergeCell ref="I225:I226"/>
    <mergeCell ref="F225:F22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9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2020-04-01T04:57:43Z</cp:lastPrinted>
  <dcterms:created xsi:type="dcterms:W3CDTF">1998-04-06T06:06:47Z</dcterms:created>
  <dcterms:modified xsi:type="dcterms:W3CDTF">2020-04-01T04:58:20Z</dcterms:modified>
</cp:coreProperties>
</file>