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2120" windowHeight="9120" activeTab="0"/>
  </bookViews>
  <sheets>
    <sheet name="Анализ бюджета" sheetId="1" r:id="rId1"/>
  </sheets>
  <definedNames>
    <definedName name="Z_08EF82CC_B73D_4976_854E_2FADDE1EDAB4_.wvu.PrintArea" localSheetId="0" hidden="1">'Анализ бюджета'!$A$1:$L$258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бюджета'!$A$1:$L$258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бюджета'!$A$1:$K$257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бюджета'!$A$1:$K$258</definedName>
    <definedName name="Z_4F278C51_CC0C_4908_B19B_FD853FE30C23_.wvu.PrintArea" localSheetId="0" hidden="1">'Анализ бюджета'!$A$1:$K$257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бюджета'!$A$1:$L$258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бюджета'!$54:$55,'Анализ бюджета'!#REF!,'Анализ бюджета'!$204:$204</definedName>
    <definedName name="Z_735893B7_5E6F_4E87_8F79_7422E435EC59_.wvu.PrintArea" localSheetId="0" hidden="1">'Анализ бюджета'!$A$1:$K$260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бюджета'!$34:$49</definedName>
    <definedName name="Z_8F58F720_5478_11D7_8E43_00002120D636_.wvu.PrintArea" localSheetId="0" hidden="1">'Анализ бюджета'!$A$2:$K$85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бюджета'!$A$1:$L$258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бюджета'!$54:$55,'Анализ бюджета'!#REF!,'Анализ бюджета'!#REF!,'Анализ бюджета'!$204:$204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бюджета'!$A$1:$K$260</definedName>
    <definedName name="Z_97B5DCE1_CCA4_11D7_B6CC_0007E980B7D4_.wvu.Rows" localSheetId="0" hidden="1">'Анализ бюджета'!#REF!,'Анализ бюджета'!$34:$49</definedName>
    <definedName name="Z_A91D99C2_8122_48C0_91AB_172E51C62B1D_.wvu.PrintArea" localSheetId="0" hidden="1">'Анализ бюджета'!$A$1:$K$257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бюджета'!$A$1:$L$258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бюджета'!$204:$204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бюджета'!$A$1:$K$257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бюджета'!$A$1:$L$258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бюджета'!$54:$55,'Анализ бюджета'!#REF!,'Анализ бюджета'!$204:$204</definedName>
    <definedName name="Z_E64E5F61_FD5E_11DA_AA5B_0004761D6C8E_.wvu.PrintArea" localSheetId="0" hidden="1">'Анализ бюджета'!$A$1:$K$257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бюджета'!$G$84</definedName>
    <definedName name="Всего_расходов_2002">'Анализ бюджета'!#REF!</definedName>
    <definedName name="Всего_расходов_2003">'Анализ бюджета'!$G$183</definedName>
    <definedName name="_xlnm.Print_Titles" localSheetId="0">'Анализ бюджета'!$4:$5</definedName>
    <definedName name="_xlnm.Print_Area" localSheetId="0">'Анализ бюджета'!$A$1:$L$253</definedName>
  </definedNames>
  <calcPr fullCalcOnLoad="1" fullPrecision="0"/>
</workbook>
</file>

<file path=xl/sharedStrings.xml><?xml version="1.0" encoding="utf-8"?>
<sst xmlns="http://schemas.openxmlformats.org/spreadsheetml/2006/main" count="399" uniqueCount="335">
  <si>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</si>
  <si>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</si>
  <si>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</si>
  <si>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</si>
  <si>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</si>
  <si>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</si>
  <si>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</si>
  <si>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</si>
  <si>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</si>
  <si>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</si>
  <si>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</si>
  <si>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</si>
  <si>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</si>
  <si>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</si>
  <si>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</si>
  <si>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</si>
  <si>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</si>
  <si>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</si>
  <si>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</si>
  <si>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</si>
  <si>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</si>
  <si>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</si>
  <si>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</si>
  <si>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</si>
  <si>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</si>
  <si>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</si>
  <si>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</si>
  <si>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</si>
  <si>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</si>
  <si>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</si>
  <si>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</si>
  <si>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</si>
  <si>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</si>
  <si>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</si>
  <si>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</si>
  <si>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</si>
  <si>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</si>
  <si>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</si>
  <si>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</si>
  <si>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</si>
  <si>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</si>
  <si>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</si>
  <si>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</si>
  <si>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</si>
  <si>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</si>
  <si>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</si>
  <si>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</si>
  <si>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</si>
  <si>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</si>
  <si>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</si>
  <si>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</si>
  <si>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</si>
  <si>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</si>
  <si>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</si>
  <si>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</si>
  <si>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</si>
  <si>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</si>
  <si>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</si>
  <si>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</si>
  <si>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</si>
  <si>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</si>
  <si>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</si>
  <si>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</si>
  <si>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</si>
  <si>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2</t>
  </si>
  <si>
    <t>Жилищное хозяйство</t>
  </si>
  <si>
    <t xml:space="preserve">- капитальный ремонт жилого фонда за счет средств поступающих за наем муниципальных жилых помещений    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</si>
  <si>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</si>
  <si>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</si>
  <si>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</si>
  <si>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</si>
  <si>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</si>
  <si>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</si>
  <si>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</si>
  <si>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</si>
  <si>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</si>
  <si>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</si>
  <si>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</si>
  <si>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</si>
  <si>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</si>
  <si>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</si>
  <si>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</si>
  <si>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</si>
  <si>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</si>
  <si>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</si>
  <si>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</si>
  <si>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</si>
  <si>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</si>
  <si>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</si>
  <si>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</si>
  <si>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</si>
  <si>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</si>
  <si>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</si>
  <si>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</si>
  <si>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</si>
  <si>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</si>
  <si>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</si>
  <si>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</si>
  <si>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</si>
  <si>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</si>
  <si>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</si>
  <si>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Образование</t>
  </si>
  <si>
    <t>0700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</si>
  <si>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</si>
  <si>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</si>
  <si>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</si>
  <si>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</si>
  <si>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</si>
  <si>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</si>
  <si>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</si>
  <si>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</si>
  <si>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</si>
  <si>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</si>
  <si>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</si>
  <si>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</si>
  <si>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</si>
  <si>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</si>
  <si>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</si>
  <si>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</rPr>
      <t>1</t>
    </r>
    <r>
      <rPr>
        <sz val="9"/>
        <color indexed="8"/>
        <rFont val="Arial Narrow"/>
        <family val="2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</si>
  <si>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</si>
  <si>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</si>
  <si>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</si>
  <si>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</si>
  <si>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</si>
  <si>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</si>
  <si>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</si>
  <si>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</si>
  <si>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</si>
  <si>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</si>
  <si>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</si>
  <si>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</si>
  <si>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</si>
  <si>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</si>
  <si>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</si>
  <si>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</si>
  <si>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</si>
  <si>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</si>
  <si>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</si>
  <si>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</si>
  <si>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</si>
  <si>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134 1 11 05075 13 0000 120</t>
  </si>
  <si>
    <t>134 1 14 02053 13 0000 410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</si>
  <si>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</si>
  <si>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</si>
  <si>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</si>
  <si>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</si>
  <si>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</si>
  <si>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</si>
  <si>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</si>
  <si>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</si>
  <si>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</si>
  <si>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</si>
  <si>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</si>
  <si>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</si>
  <si>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</si>
  <si>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</si>
  <si>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</si>
  <si>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</si>
  <si>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</si>
  <si>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</si>
  <si>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Межбюджетные трансферты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</si>
  <si>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</si>
  <si>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</si>
  <si>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</si>
  <si>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</si>
  <si>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</si>
  <si>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</si>
  <si>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</si>
  <si>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ДОХОДЫ ОТ КОМПЕНСАЦИИ ЗАТРАТ ГОСУДАРСТВА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</si>
  <si>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</si>
  <si>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</si>
  <si>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</si>
  <si>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</si>
  <si>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</si>
  <si>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</si>
  <si>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</si>
  <si>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</si>
  <si>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</si>
  <si>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</si>
  <si>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</si>
  <si>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6900103400</t>
  </si>
  <si>
    <t>73002Z0000                    100</t>
  </si>
  <si>
    <t xml:space="preserve"> 4700000000</t>
  </si>
  <si>
    <t>730031200</t>
  </si>
  <si>
    <t>7100405400               7100411800</t>
  </si>
  <si>
    <t>000 2 02 04000 00 0000 150</t>
  </si>
  <si>
    <t>119 2 02 25555 13 0000 150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</si>
  <si>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</si>
  <si>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</si>
  <si>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</si>
  <si>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</si>
  <si>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</si>
  <si>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</si>
  <si>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</si>
  <si>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</si>
  <si>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</si>
  <si>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</si>
  <si>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</si>
  <si>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</si>
  <si>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</si>
  <si>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</si>
  <si>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</si>
  <si>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</si>
  <si>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</si>
  <si>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</si>
  <si>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</si>
  <si>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- содержание, экспертиза и оценка жил.помещений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</si>
  <si>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</si>
  <si>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</si>
  <si>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000 2 18 05000 00 0000 180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</si>
  <si>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</si>
  <si>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</si>
  <si>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</si>
  <si>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</si>
  <si>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План 9 месяцев на 01.10.2019 г.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</si>
  <si>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</si>
  <si>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119 2 02 49999 13 0013 150</t>
  </si>
  <si>
    <t>119 20 7 05030 13 0000 150</t>
  </si>
  <si>
    <t>2630003300</t>
  </si>
  <si>
    <t>- расходы на подготовку и проведение выборов в органы местного самоуправления</t>
  </si>
  <si>
    <t>73002Z0000                                        104,100</t>
  </si>
  <si>
    <t>8300000000</t>
  </si>
  <si>
    <t>Выполнение работ по рекультивации земель городского поселения</t>
  </si>
  <si>
    <t>7100700000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</si>
  <si>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 (ремонт дворовых и общественных территорий)</t>
  </si>
  <si>
    <t>Расходы на обеспечение деятельности МКУ "Городское хозяйство":</t>
  </si>
  <si>
    <t>0407</t>
  </si>
  <si>
    <t>Лесное хозяйство</t>
  </si>
  <si>
    <t>- коммунальные услуги</t>
  </si>
  <si>
    <t>- прочие расходы</t>
  </si>
  <si>
    <t xml:space="preserve"> - заработная плата с начислениями на оплату труда</t>
  </si>
  <si>
    <t>0709</t>
  </si>
  <si>
    <t>Другие вопросы в области образования</t>
  </si>
  <si>
    <t>МБТ ГО и ЧС</t>
  </si>
  <si>
    <t xml:space="preserve">                              4700000000</t>
  </si>
  <si>
    <t>- организация и содержание мест захоронения, в т.ч.погашение кред.задолж.</t>
  </si>
  <si>
    <t>- предотвращения рисков возникновения ЧС  (в рамках ВЦП) в т.ч.погашение кред.задолж.</t>
  </si>
  <si>
    <t>000 1 13 01990 00 0000 130</t>
  </si>
  <si>
    <t xml:space="preserve">ДОХОДЫ ОТ ОКАЗАНИЯ ПЛАТНЫХ УСЛУГ </t>
  </si>
  <si>
    <t>000 1 16 00000 00 0000 140</t>
  </si>
  <si>
    <t>119 2 02 49999 13 0001 150</t>
  </si>
  <si>
    <t>119 2 02 49999 13 0002 150</t>
  </si>
  <si>
    <t xml:space="preserve">
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</si>
  <si>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</si>
  <si>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поселений из бюджета Энгельсского муниципального района, за счет средств субсидии из областного бюджета бюджетам муниципальных районов и городских округов области на обеспечение расходных обязательств, связанных с повышением оплаты труда отдельным категориям работников бюджетной сферы в целях реализации Указов Президента Российской Федерации от 7 мая 2012 года № 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 в рамках реализации государственной программы Саратовской области "Развитие государственного и муниципального управления до 2020 года" и условиях ее расходования</t>
  </si>
  <si>
    <t>- прочие расходы , из них:</t>
  </si>
  <si>
    <t>Организация и проведение физкультурно-оздоровительных и спортивно-массовых мероприятий</t>
  </si>
  <si>
    <t>Укрепление и развитие материально-технической базы</t>
  </si>
  <si>
    <t xml:space="preserve">Обеспечение первичных мер пожарной безопасности </t>
  </si>
  <si>
    <t>Организация и проведение мероприятий по популяризации народного творчества и культурно-досуговой деятельности</t>
  </si>
  <si>
    <t>Укрепление и развитие материально-технической базы муниципальных организаций культуры</t>
  </si>
  <si>
    <t>- заработная плата с начислениями на оплату труда (оплата труда несовешеннолетним)</t>
  </si>
  <si>
    <t>Проведение мероприятий для детей и молодежи</t>
  </si>
  <si>
    <t>Обеспечение первичных мер пожарной безопасности</t>
  </si>
  <si>
    <t>Процент исполнения плана 1 квартала</t>
  </si>
  <si>
    <t>4</t>
  </si>
  <si>
    <t>7</t>
  </si>
  <si>
    <t>10</t>
  </si>
  <si>
    <t>71009Z0000; 46000000</t>
  </si>
  <si>
    <t>- ремонт дворовых и общественных территорий (в рамках МП "Современная городская среда")</t>
  </si>
  <si>
    <t>7100300000;          7101101500</t>
  </si>
  <si>
    <t>119 2 18 60010 13 0000 150</t>
  </si>
  <si>
    <t>Доходы бюджетов городских поселений от возврата  субсидий прошлых лет</t>
  </si>
  <si>
    <t>73001Z0000            73004Z0000 2630002100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</si>
  <si>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</si>
  <si>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119 2 02 49999 13 0000 150</t>
  </si>
  <si>
    <t>119 2 18 05010 13 0000 180</t>
  </si>
  <si>
    <t>Доходы бюджетов городских поселений от возврата  бюджетными учреждениями остатков субсидий прошлых лет</t>
  </si>
  <si>
    <t>119 2 02 29999 13 0092 150</t>
  </si>
  <si>
    <t>Субсидия бюджетам городских поселений области надостижение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</t>
  </si>
  <si>
    <t>119 2 02 49999 13 0006 150</t>
  </si>
  <si>
    <t>Межбюджетные трансферты, передаваемые бюджетам городских поселений области за счет средств резервного фонда Правительства Саратовской области</t>
  </si>
  <si>
    <t>прочие неналоговые доходы бюджетов городских поселений</t>
  </si>
  <si>
    <t>102 1 17 05050 13 0000 180</t>
  </si>
  <si>
    <t>- прочие расходы, из них:</t>
  </si>
  <si>
    <t>Фактическое
исполнение
на 31.12.2020 г.</t>
  </si>
  <si>
    <t>8</t>
  </si>
  <si>
    <t>119 2 02 16001 13 0002 150</t>
  </si>
  <si>
    <t>ВЦП"Устройство детских игровых площадок на территории муниципального образования город Энгельс Энгельсского муниципального района Саратовской области"</t>
  </si>
  <si>
    <t>Проведение мероприятий по энергоснабжению и повышению энергетической эффективности организаций культуры</t>
  </si>
  <si>
    <t>в т.ч. МБТ ГО и ЧС</t>
  </si>
  <si>
    <t>Анализ исполнения  бюджета муниципального образования город Энгельс за 2021 год</t>
  </si>
  <si>
    <t>Фактическое
исполнение
на 31.12.2021 г.</t>
  </si>
  <si>
    <t>Уд. вес
в 2021 г.</t>
  </si>
  <si>
    <t>Сравнение исполнения на 31.12.2020 и 2021 гг.(гр.6-гр.5)</t>
  </si>
  <si>
    <t xml:space="preserve">Первоначальный  годовой план 2021 года
</t>
  </si>
  <si>
    <t>Уточненный  годовой план 2021 года</t>
  </si>
  <si>
    <t>-субсидии бюджетным учреждениям на иные цели</t>
  </si>
  <si>
    <t>- заработная плата с начислениями на оплату труда 
(МБУ "Клуб "Энгельсская молодежь")</t>
  </si>
  <si>
    <t>Реализация регионального проекта (программы) в целях выполнения задач федерального проекта "Цифровая культура"</t>
  </si>
  <si>
    <t>414</t>
  </si>
  <si>
    <t>- бюджетные инвестиции в объекты капитального строительства государственной (муниципальной) собственности (строительство универсальной спортивной площадки)</t>
  </si>
  <si>
    <t>- выполнение работ по подготовке схемы теплоснабжения</t>
  </si>
  <si>
    <t>- оплата судебных издержек</t>
  </si>
  <si>
    <t>0405</t>
  </si>
  <si>
    <t>Мероприятия при осуществлении деятельности по обращению с животными без владельцев</t>
  </si>
  <si>
    <t>- осуществление пассажирских перевозок, осуществляемых городским наземным электрическим транспортом</t>
  </si>
  <si>
    <t>Осуществление мероприятий с целью оформления прав собственности на бесхозяйные объекты газораспределения за счет средств местного бюджета</t>
  </si>
  <si>
    <t>- закупка контейнеров для раздельного накопления твердых коммунальных отходов</t>
  </si>
  <si>
    <t>102 1 11 09080 13 0000 120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</si>
  <si>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</si>
  <si>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119 2 02 45390 13 0000 150</t>
  </si>
  <si>
    <t>119 2 02 49999 13 0003 150</t>
  </si>
  <si>
    <t>Межбюджетные трансферты, передаваемые бюджету  муниципального образования  город Энгельс Энгельсского муниципального района Саратовской области из бюджета Энгельсского муниципального района на обеспечение строительства, реконструкции, капитального ремонта, ремонта и содержания автомобильных дорог общего пользования местного значения городского поселения за счет средств муниципального дорожного фонда</t>
  </si>
  <si>
    <t>123 1 16 01074 01 0000 140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</si>
  <si>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</si>
  <si>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119 1 16 01154 01 0000 140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</si>
  <si>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</si>
  <si>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125 1 16 07090 13 0000 140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</si>
  <si>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</si>
  <si>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106 1 16 10123 01 0000 140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</si>
  <si>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</si>
  <si>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119 1 17 05050 13 0000 180</t>
  </si>
  <si>
    <t>119 2 02 25269 13 0000 150</t>
  </si>
  <si>
    <t>Субсидии бюджетам городских поселений на закупку контейнеров для раздельного накопления твердых коммунальных отходов</t>
  </si>
  <si>
    <t>119 2 02 49999 13 0007 150</t>
  </si>
  <si>
    <t>Межбюджетные трансферты, передаваемые бюджету муниципального образования город Энгельс Энгельсского муниципального района Саратовской области из бюджета Энгельсского муниципального района на осуществление мероприятий с целью оформления прав собственности на бесхозяйные объекты газораспределения</t>
  </si>
  <si>
    <t>119 2 02 45453 13 0000 150</t>
  </si>
  <si>
    <t>Межбюджетные трансферты, передаваемые бюджетам городских поселений на создание виртуальных концертных залов</t>
  </si>
  <si>
    <t>119 2 18 05030 13 0000 150</t>
  </si>
  <si>
    <t>Доходы бюджетов городских поселений от возврата иными организациями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</si>
  <si>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</si>
  <si>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</si>
  <si>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</si>
  <si>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119 1 16 10123 01 0000 140</t>
  </si>
  <si>
    <t>182 1 16 10123 01 0000 140</t>
  </si>
  <si>
    <t>125 1 17 01050 10 0000 180</t>
  </si>
  <si>
    <t>125 1 11 09045 13 0000 120</t>
  </si>
  <si>
    <t>119 2 19 25555 13 0000 150</t>
  </si>
  <si>
    <t>123 1 14 06000 13 0000 430</t>
  </si>
  <si>
    <t>134 1 11 07015 13 0000 120</t>
  </si>
  <si>
    <t>123 1 14 06025 13 0000 430</t>
  </si>
  <si>
    <t>123 1 14 06300 13 0000 430</t>
  </si>
  <si>
    <t>123 1 16 07090 13 0000 140</t>
  </si>
  <si>
    <t>134 1 16 07090 13 0000 140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</si>
</sst>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  <numFmt numFmtId="170" formatCode="#,##0.00\ &quot;₽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vertAlign val="superscript"/>
      <sz val="9.9"/>
      <color indexed="8"/>
      <name val="Arial Narrow"/>
      <family val="2"/>
    </font>
    <font>
      <b/>
      <sz val="11"/>
      <color indexed="8"/>
      <name val="Arial Narrow"/>
      <family val="2"/>
    </font>
    <font>
      <i/>
      <sz val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9C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16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16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67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/>
    </xf>
    <xf numFmtId="0" fontId="11" fillId="0" borderId="0" xfId="0" applyNumberFormat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right" vertical="center" wrapText="1"/>
    </xf>
    <xf numFmtId="165" fontId="2" fillId="33" borderId="10" xfId="57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center"/>
    </xf>
    <xf numFmtId="165" fontId="3" fillId="33" borderId="10" xfId="57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justify" vertical="center"/>
    </xf>
    <xf numFmtId="167" fontId="3" fillId="7" borderId="10" xfId="0" applyNumberFormat="1" applyFont="1" applyFill="1" applyBorder="1" applyAlignment="1">
      <alignment horizontal="right" vertical="center"/>
    </xf>
    <xf numFmtId="167" fontId="3" fillId="7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justify" vertical="center"/>
    </xf>
    <xf numFmtId="167" fontId="3" fillId="34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67" fontId="3" fillId="34" borderId="10" xfId="0" applyNumberFormat="1" applyFont="1" applyFill="1" applyBorder="1" applyAlignment="1">
      <alignment horizontal="right" vertical="center" wrapText="1"/>
    </xf>
    <xf numFmtId="167" fontId="3" fillId="34" borderId="10" xfId="0" applyNumberFormat="1" applyFont="1" applyFill="1" applyBorder="1" applyAlignment="1">
      <alignment horizontal="right" vertical="center" wrapText="1"/>
    </xf>
    <xf numFmtId="167" fontId="3" fillId="34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justify" vertical="center" wrapText="1"/>
    </xf>
    <xf numFmtId="167" fontId="3" fillId="35" borderId="10" xfId="0" applyNumberFormat="1" applyFont="1" applyFill="1" applyBorder="1" applyAlignment="1">
      <alignment horizontal="right" vertical="center"/>
    </xf>
    <xf numFmtId="167" fontId="7" fillId="7" borderId="10" xfId="0" applyNumberFormat="1" applyFont="1" applyFill="1" applyBorder="1" applyAlignment="1" applyProtection="1">
      <alignment horizontal="right" vertical="center"/>
      <protection/>
    </xf>
    <xf numFmtId="167" fontId="3" fillId="7" borderId="10" xfId="0" applyNumberFormat="1" applyFont="1" applyFill="1" applyBorder="1" applyAlignment="1" applyProtection="1">
      <alignment horizontal="right" vertical="center" wrapText="1"/>
      <protection locked="0"/>
    </xf>
    <xf numFmtId="167" fontId="2" fillId="7" borderId="12" xfId="0" applyNumberFormat="1" applyFont="1" applyFill="1" applyBorder="1" applyAlignment="1" applyProtection="1">
      <alignment horizontal="right" vertical="center"/>
      <protection/>
    </xf>
    <xf numFmtId="167" fontId="2" fillId="7" borderId="10" xfId="0" applyNumberFormat="1" applyFont="1" applyFill="1" applyBorder="1" applyAlignment="1" applyProtection="1">
      <alignment horizontal="right" vertical="center"/>
      <protection/>
    </xf>
    <xf numFmtId="167" fontId="2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167" fontId="2" fillId="7" borderId="10" xfId="0" applyNumberFormat="1" applyFont="1" applyFill="1" applyBorder="1" applyAlignment="1">
      <alignment horizontal="right" vertical="center"/>
    </xf>
    <xf numFmtId="167" fontId="2" fillId="7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167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67" fontId="8" fillId="35" borderId="10" xfId="0" applyNumberFormat="1" applyFont="1" applyFill="1" applyBorder="1" applyAlignment="1" applyProtection="1">
      <alignment horizontal="right" vertical="center"/>
      <protection/>
    </xf>
    <xf numFmtId="167" fontId="8" fillId="35" borderId="10" xfId="0" applyNumberFormat="1" applyFont="1" applyFill="1" applyBorder="1" applyAlignment="1" applyProtection="1">
      <alignment horizontal="right" vertical="center"/>
      <protection locked="0"/>
    </xf>
    <xf numFmtId="167" fontId="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justify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justify" vertical="center"/>
    </xf>
    <xf numFmtId="0" fontId="3" fillId="35" borderId="10" xfId="0" applyFont="1" applyFill="1" applyBorder="1" applyAlignment="1">
      <alignment horizontal="justify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167" fontId="3" fillId="37" borderId="10" xfId="0" applyNumberFormat="1" applyFont="1" applyFill="1" applyBorder="1" applyAlignment="1">
      <alignment horizontal="right" vertical="center" wrapText="1"/>
    </xf>
    <xf numFmtId="167" fontId="3" fillId="37" borderId="10" xfId="0" applyNumberFormat="1" applyFont="1" applyFill="1" applyBorder="1" applyAlignment="1">
      <alignment horizontal="right" vertical="center"/>
    </xf>
    <xf numFmtId="167" fontId="3" fillId="37" borderId="10" xfId="0" applyNumberFormat="1" applyFont="1" applyFill="1" applyBorder="1" applyAlignment="1">
      <alignment horizontal="right" vertical="center"/>
    </xf>
    <xf numFmtId="0" fontId="3" fillId="37" borderId="0" xfId="0" applyFont="1" applyFill="1" applyBorder="1" applyAlignment="1">
      <alignment horizontal="center" vertical="center"/>
    </xf>
    <xf numFmtId="165" fontId="3" fillId="37" borderId="10" xfId="57" applyNumberFormat="1" applyFont="1" applyFill="1" applyBorder="1" applyAlignment="1">
      <alignment horizontal="right" vertical="center"/>
    </xf>
    <xf numFmtId="167" fontId="2" fillId="36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/>
    </xf>
    <xf numFmtId="167" fontId="2" fillId="0" borderId="10" xfId="0" applyNumberFormat="1" applyFont="1" applyFill="1" applyBorder="1" applyAlignment="1">
      <alignment horizontal="right" vertical="center"/>
    </xf>
    <xf numFmtId="165" fontId="3" fillId="0" borderId="10" xfId="57" applyNumberFormat="1" applyFont="1" applyFill="1" applyBorder="1" applyAlignment="1">
      <alignment horizontal="right" vertical="center"/>
    </xf>
    <xf numFmtId="165" fontId="2" fillId="0" borderId="10" xfId="57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7" fontId="3" fillId="35" borderId="10" xfId="0" applyNumberFormat="1" applyFont="1" applyFill="1" applyBorder="1" applyAlignment="1">
      <alignment horizontal="right" vertical="center"/>
    </xf>
    <xf numFmtId="167" fontId="3" fillId="35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165" fontId="3" fillId="35" borderId="10" xfId="57" applyNumberFormat="1" applyFont="1" applyFill="1" applyBorder="1" applyAlignment="1">
      <alignment horizontal="right" vertical="center"/>
    </xf>
    <xf numFmtId="165" fontId="3" fillId="34" borderId="10" xfId="57" applyNumberFormat="1" applyFont="1" applyFill="1" applyBorder="1" applyAlignment="1">
      <alignment horizontal="right" vertical="center"/>
    </xf>
    <xf numFmtId="167" fontId="3" fillId="36" borderId="10" xfId="0" applyNumberFormat="1" applyFont="1" applyFill="1" applyBorder="1" applyAlignment="1">
      <alignment horizontal="right" vertical="center" wrapText="1"/>
    </xf>
    <xf numFmtId="167" fontId="3" fillId="36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4" fontId="3" fillId="0" borderId="10" xfId="57" applyNumberFormat="1" applyFont="1" applyFill="1" applyBorder="1" applyAlignment="1">
      <alignment horizontal="right" vertical="center"/>
    </xf>
    <xf numFmtId="166" fontId="3" fillId="0" borderId="10" xfId="60" applyNumberFormat="1" applyFont="1" applyFill="1" applyBorder="1" applyAlignment="1">
      <alignment vertical="center"/>
    </xf>
    <xf numFmtId="165" fontId="3" fillId="0" borderId="10" xfId="57" applyNumberFormat="1" applyFont="1" applyFill="1" applyBorder="1" applyAlignment="1">
      <alignment horizontal="right" vertical="center"/>
    </xf>
    <xf numFmtId="167" fontId="2" fillId="38" borderId="10" xfId="0" applyNumberFormat="1" applyFont="1" applyFill="1" applyBorder="1" applyAlignment="1">
      <alignment horizontal="right" vertical="center" wrapText="1"/>
    </xf>
    <xf numFmtId="165" fontId="2" fillId="38" borderId="10" xfId="57" applyNumberFormat="1" applyFont="1" applyFill="1" applyBorder="1" applyAlignment="1">
      <alignment horizontal="right" vertical="center"/>
    </xf>
    <xf numFmtId="168" fontId="2" fillId="38" borderId="10" xfId="0" applyNumberFormat="1" applyFont="1" applyFill="1" applyBorder="1" applyAlignment="1">
      <alignment horizontal="right" vertical="center"/>
    </xf>
    <xf numFmtId="167" fontId="2" fillId="38" borderId="10" xfId="0" applyNumberFormat="1" applyFont="1" applyFill="1" applyBorder="1" applyAlignment="1">
      <alignment horizontal="right" vertical="center"/>
    </xf>
    <xf numFmtId="165" fontId="2" fillId="35" borderId="12" xfId="57" applyNumberFormat="1" applyFont="1" applyFill="1" applyBorder="1" applyAlignment="1">
      <alignment horizontal="right" vertical="center"/>
    </xf>
    <xf numFmtId="167" fontId="2" fillId="35" borderId="10" xfId="0" applyNumberFormat="1" applyFont="1" applyFill="1" applyBorder="1" applyAlignment="1">
      <alignment horizontal="right" vertical="center"/>
    </xf>
    <xf numFmtId="165" fontId="3" fillId="35" borderId="10" xfId="57" applyNumberFormat="1" applyFont="1" applyFill="1" applyBorder="1" applyAlignment="1">
      <alignment horizontal="right" vertical="center"/>
    </xf>
    <xf numFmtId="0" fontId="2" fillId="39" borderId="10" xfId="0" applyNumberFormat="1" applyFont="1" applyFill="1" applyBorder="1" applyAlignment="1">
      <alignment horizontal="justify" vertical="center" wrapText="1"/>
    </xf>
    <xf numFmtId="167" fontId="2" fillId="39" borderId="10" xfId="0" applyNumberFormat="1" applyFont="1" applyFill="1" applyBorder="1" applyAlignment="1">
      <alignment horizontal="right" vertical="center" wrapText="1"/>
    </xf>
    <xf numFmtId="16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>
      <alignment horizontal="justify" vertical="center" wrapText="1"/>
    </xf>
    <xf numFmtId="165" fontId="2" fillId="7" borderId="10" xfId="57" applyNumberFormat="1" applyFont="1" applyFill="1" applyBorder="1" applyAlignment="1">
      <alignment horizontal="right" vertical="center"/>
    </xf>
    <xf numFmtId="165" fontId="3" fillId="7" borderId="10" xfId="57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justify" vertical="center"/>
    </xf>
    <xf numFmtId="167" fontId="4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readingOrder="1"/>
    </xf>
    <xf numFmtId="167" fontId="2" fillId="35" borderId="10" xfId="0" applyNumberFormat="1" applyFont="1" applyFill="1" applyBorder="1" applyAlignment="1">
      <alignment horizontal="justify" vertical="center"/>
    </xf>
    <xf numFmtId="167" fontId="2" fillId="35" borderId="12" xfId="0" applyNumberFormat="1" applyFont="1" applyFill="1" applyBorder="1" applyAlignment="1">
      <alignment horizontal="right" vertical="center"/>
    </xf>
    <xf numFmtId="167" fontId="5" fillId="35" borderId="0" xfId="0" applyNumberFormat="1" applyFont="1" applyFill="1" applyBorder="1" applyAlignment="1">
      <alignment horizontal="justify" vertical="center"/>
    </xf>
    <xf numFmtId="167" fontId="3" fillId="38" borderId="10" xfId="0" applyNumberFormat="1" applyFont="1" applyFill="1" applyBorder="1" applyAlignment="1" applyProtection="1">
      <alignment horizontal="right" vertical="center" wrapText="1"/>
      <protection locked="0"/>
    </xf>
    <xf numFmtId="167" fontId="2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0" xfId="0" applyNumberFormat="1" applyFont="1" applyFill="1" applyBorder="1" applyAlignment="1">
      <alignment horizontal="justify" vertical="center"/>
    </xf>
    <xf numFmtId="49" fontId="3" fillId="35" borderId="0" xfId="0" applyNumberFormat="1" applyFont="1" applyFill="1" applyBorder="1" applyAlignment="1">
      <alignment horizontal="justify" vertical="center" wrapText="1"/>
    </xf>
    <xf numFmtId="167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6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 applyProtection="1">
      <alignment horizontal="left" vertical="top" wrapText="1"/>
      <protection locked="0"/>
    </xf>
    <xf numFmtId="167" fontId="2" fillId="0" borderId="0" xfId="0" applyNumberFormat="1" applyFont="1" applyFill="1" applyBorder="1" applyAlignment="1">
      <alignment vertical="center"/>
    </xf>
    <xf numFmtId="0" fontId="13" fillId="38" borderId="10" xfId="0" applyFont="1" applyFill="1" applyBorder="1" applyAlignment="1">
      <alignment horizontal="center" vertical="center" wrapText="1"/>
    </xf>
    <xf numFmtId="168" fontId="3" fillId="38" borderId="10" xfId="0" applyNumberFormat="1" applyFont="1" applyFill="1" applyBorder="1" applyAlignment="1">
      <alignment horizontal="right" vertical="center"/>
    </xf>
    <xf numFmtId="165" fontId="3" fillId="38" borderId="10" xfId="57" applyNumberFormat="1" applyFont="1" applyFill="1" applyBorder="1" applyAlignment="1">
      <alignment horizontal="right" vertical="center"/>
    </xf>
    <xf numFmtId="167" fontId="8" fillId="38" borderId="10" xfId="0" applyNumberFormat="1" applyFont="1" applyFill="1" applyBorder="1" applyAlignment="1" applyProtection="1">
      <alignment horizontal="right" vertical="center"/>
      <protection/>
    </xf>
    <xf numFmtId="49" fontId="13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167" fontId="7" fillId="38" borderId="10" xfId="0" applyNumberFormat="1" applyFont="1" applyFill="1" applyBorder="1" applyAlignment="1" applyProtection="1">
      <alignment horizontal="right" vertical="center"/>
      <protection/>
    </xf>
    <xf numFmtId="168" fontId="3" fillId="38" borderId="10" xfId="0" applyNumberFormat="1" applyFont="1" applyFill="1" applyBorder="1" applyAlignment="1">
      <alignment horizontal="right" vertical="center"/>
    </xf>
    <xf numFmtId="168" fontId="2" fillId="38" borderId="10" xfId="0" applyNumberFormat="1" applyFont="1" applyFill="1" applyBorder="1" applyAlignment="1">
      <alignment horizontal="center" vertical="center"/>
    </xf>
    <xf numFmtId="167" fontId="2" fillId="38" borderId="10" xfId="0" applyNumberFormat="1" applyFont="1" applyFill="1" applyBorder="1" applyAlignment="1">
      <alignment horizontal="right" vertical="center"/>
    </xf>
    <xf numFmtId="167" fontId="3" fillId="38" borderId="10" xfId="0" applyNumberFormat="1" applyFont="1" applyFill="1" applyBorder="1" applyAlignment="1">
      <alignment horizontal="right" vertical="center"/>
    </xf>
    <xf numFmtId="165" fontId="3" fillId="38" borderId="10" xfId="57" applyNumberFormat="1" applyFont="1" applyFill="1" applyBorder="1" applyAlignment="1">
      <alignment horizontal="right" vertical="center"/>
    </xf>
    <xf numFmtId="167" fontId="3" fillId="38" borderId="10" xfId="0" applyNumberFormat="1" applyFont="1" applyFill="1" applyBorder="1" applyAlignment="1">
      <alignment horizontal="right" vertical="center"/>
    </xf>
    <xf numFmtId="168" fontId="3" fillId="38" borderId="10" xfId="0" applyNumberFormat="1" applyFont="1" applyFill="1" applyBorder="1" applyAlignment="1">
      <alignment horizontal="right" vertical="center"/>
    </xf>
    <xf numFmtId="165" fontId="2" fillId="38" borderId="12" xfId="57" applyNumberFormat="1" applyFont="1" applyFill="1" applyBorder="1" applyAlignment="1">
      <alignment horizontal="right" vertical="center"/>
    </xf>
    <xf numFmtId="168" fontId="2" fillId="38" borderId="12" xfId="0" applyNumberFormat="1" applyFont="1" applyFill="1" applyBorder="1" applyAlignment="1">
      <alignment horizontal="right" vertical="center"/>
    </xf>
    <xf numFmtId="167" fontId="2" fillId="38" borderId="12" xfId="0" applyNumberFormat="1" applyFont="1" applyFill="1" applyBorder="1" applyAlignment="1">
      <alignment horizontal="right" vertical="center"/>
    </xf>
    <xf numFmtId="165" fontId="2" fillId="38" borderId="12" xfId="57" applyNumberFormat="1" applyFont="1" applyFill="1" applyBorder="1" applyAlignment="1">
      <alignment vertical="center"/>
    </xf>
    <xf numFmtId="165" fontId="3" fillId="38" borderId="12" xfId="57" applyNumberFormat="1" applyFont="1" applyFill="1" applyBorder="1" applyAlignment="1">
      <alignment vertical="center"/>
    </xf>
    <xf numFmtId="167" fontId="2" fillId="34" borderId="10" xfId="0" applyNumberFormat="1" applyFont="1" applyFill="1" applyBorder="1" applyAlignment="1">
      <alignment horizontal="right" vertical="center"/>
    </xf>
    <xf numFmtId="165" fontId="2" fillId="34" borderId="10" xfId="57" applyNumberFormat="1" applyFont="1" applyFill="1" applyBorder="1" applyAlignment="1">
      <alignment horizontal="right" vertical="center"/>
    </xf>
    <xf numFmtId="165" fontId="3" fillId="34" borderId="10" xfId="57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center" wrapText="1"/>
    </xf>
    <xf numFmtId="167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/>
    </xf>
    <xf numFmtId="165" fontId="3" fillId="0" borderId="10" xfId="57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justify" vertical="center"/>
    </xf>
    <xf numFmtId="167" fontId="2" fillId="7" borderId="12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10" xfId="0" applyNumberFormat="1" applyFont="1" applyFill="1" applyBorder="1" applyAlignment="1">
      <alignment horizontal="right" vertical="center" wrapText="1"/>
    </xf>
    <xf numFmtId="0" fontId="16" fillId="35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justify" vertical="center"/>
    </xf>
    <xf numFmtId="4" fontId="3" fillId="35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justify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165" fontId="2" fillId="0" borderId="10" xfId="57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justify" vertical="center"/>
    </xf>
    <xf numFmtId="167" fontId="3" fillId="35" borderId="12" xfId="0" applyNumberFormat="1" applyFont="1" applyFill="1" applyBorder="1" applyAlignment="1" applyProtection="1">
      <alignment horizontal="right" vertical="center" wrapText="1"/>
      <protection locked="0"/>
    </xf>
    <xf numFmtId="167" fontId="8" fillId="35" borderId="12" xfId="0" applyNumberFormat="1" applyFont="1" applyFill="1" applyBorder="1" applyAlignment="1" applyProtection="1">
      <alignment horizontal="right" vertical="center"/>
      <protection locked="0"/>
    </xf>
    <xf numFmtId="167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35" borderId="10" xfId="0" applyNumberFormat="1" applyFont="1" applyFill="1" applyBorder="1" applyAlignment="1">
      <alignment horizontal="justify" wrapText="1"/>
    </xf>
    <xf numFmtId="167" fontId="3" fillId="0" borderId="10" xfId="0" applyNumberFormat="1" applyFont="1" applyFill="1" applyBorder="1" applyAlignment="1" applyProtection="1">
      <alignment horizontal="right" vertical="center"/>
      <protection/>
    </xf>
    <xf numFmtId="16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35" borderId="10" xfId="57" applyNumberFormat="1" applyFont="1" applyFill="1" applyBorder="1" applyAlignment="1">
      <alignment horizontal="right" vertical="center"/>
    </xf>
    <xf numFmtId="167" fontId="3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35" borderId="11" xfId="0" applyFont="1" applyFill="1" applyBorder="1" applyAlignment="1">
      <alignment horizontal="justify" wrapText="1"/>
    </xf>
    <xf numFmtId="0" fontId="50" fillId="35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left" vertical="center" wrapText="1"/>
    </xf>
    <xf numFmtId="16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35" borderId="10" xfId="0" applyFont="1" applyFill="1" applyBorder="1" applyAlignment="1">
      <alignment horizontal="left" vertical="center" wrapText="1"/>
    </xf>
    <xf numFmtId="167" fontId="2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35" borderId="10" xfId="0" applyNumberFormat="1" applyFont="1" applyFill="1" applyBorder="1" applyAlignment="1">
      <alignment vertical="center" wrapText="1"/>
    </xf>
    <xf numFmtId="169" fontId="2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left" vertical="top"/>
      <protection locked="0"/>
    </xf>
    <xf numFmtId="0" fontId="50" fillId="0" borderId="10" xfId="0" applyFont="1" applyFill="1" applyBorder="1" applyAlignment="1">
      <alignment horizontal="justify" vertical="center" wrapText="1"/>
    </xf>
    <xf numFmtId="165" fontId="2" fillId="7" borderId="12" xfId="57" applyNumberFormat="1" applyFont="1" applyFill="1" applyBorder="1" applyAlignment="1">
      <alignment horizontal="right" vertical="center"/>
    </xf>
    <xf numFmtId="165" fontId="2" fillId="7" borderId="11" xfId="57" applyNumberFormat="1" applyFont="1" applyFill="1" applyBorder="1" applyAlignment="1">
      <alignment horizontal="right" vertical="center"/>
    </xf>
    <xf numFmtId="168" fontId="2" fillId="38" borderId="12" xfId="0" applyNumberFormat="1" applyFont="1" applyFill="1" applyBorder="1" applyAlignment="1">
      <alignment horizontal="right" vertical="center"/>
    </xf>
    <xf numFmtId="168" fontId="2" fillId="38" borderId="11" xfId="0" applyNumberFormat="1" applyFont="1" applyFill="1" applyBorder="1" applyAlignment="1">
      <alignment horizontal="right" vertical="center"/>
    </xf>
    <xf numFmtId="165" fontId="2" fillId="38" borderId="12" xfId="57" applyNumberFormat="1" applyFont="1" applyFill="1" applyBorder="1" applyAlignment="1">
      <alignment horizontal="right" vertical="center"/>
    </xf>
    <xf numFmtId="165" fontId="2" fillId="38" borderId="11" xfId="57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2" fillId="38" borderId="12" xfId="0" applyNumberFormat="1" applyFont="1" applyFill="1" applyBorder="1" applyAlignment="1">
      <alignment horizontal="right" vertical="center"/>
    </xf>
    <xf numFmtId="167" fontId="2" fillId="38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34" borderId="12" xfId="0" applyNumberFormat="1" applyFont="1" applyFill="1" applyBorder="1" applyAlignment="1">
      <alignment horizontal="right" vertical="center"/>
    </xf>
    <xf numFmtId="167" fontId="2" fillId="34" borderId="11" xfId="0" applyNumberFormat="1" applyFont="1" applyFill="1" applyBorder="1" applyAlignment="1">
      <alignment horizontal="right" vertical="center"/>
    </xf>
    <xf numFmtId="167" fontId="2" fillId="7" borderId="12" xfId="0" applyNumberFormat="1" applyFont="1" applyFill="1" applyBorder="1" applyAlignment="1">
      <alignment horizontal="right" vertical="center"/>
    </xf>
    <xf numFmtId="167" fontId="2" fillId="7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4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6"/>
  <sheetViews>
    <sheetView tabSelected="1" zoomScale="115" zoomScaleNormal="115" zoomScaleSheetLayoutView="160" zoomScalePageLayoutView="0" workbookViewId="0" topLeftCell="A1">
      <pane ySplit="5" topLeftCell="A238" activePane="bottomLeft" state="frozen"/>
      <selection pane="topLeft" activeCell="A1" sqref="A1"/>
      <selection pane="bottomLeft" activeCell="L113" sqref="L113"/>
    </sheetView>
  </sheetViews>
  <sheetFormatPr defaultColWidth="9.125" defaultRowHeight="12.75"/>
  <cols>
    <col min="1" max="1" width="18.75390625" style="22" customWidth="1"/>
    <col min="2" max="2" width="39.75390625" style="48" customWidth="1"/>
    <col min="3" max="3" width="12.125" style="48" customWidth="1"/>
    <col min="4" max="4" width="11.875" style="49" customWidth="1"/>
    <col min="5" max="5" width="11.875" style="49" hidden="1" customWidth="1"/>
    <col min="6" max="7" width="12.375" style="50" customWidth="1"/>
    <col min="8" max="8" width="9.25390625" style="122" customWidth="1"/>
    <col min="9" max="9" width="9.25390625" style="122" hidden="1" customWidth="1"/>
    <col min="10" max="10" width="9.625" style="50" customWidth="1"/>
    <col min="11" max="11" width="9.875" style="50" customWidth="1"/>
    <col min="12" max="12" width="10.75390625" style="50" customWidth="1"/>
    <col min="13" max="16384" width="9.125" style="2" customWidth="1"/>
  </cols>
  <sheetData>
    <row r="1" spans="8:12" ht="13.5">
      <c r="H1" s="256"/>
      <c r="I1" s="256"/>
      <c r="J1" s="256"/>
      <c r="K1" s="256"/>
      <c r="L1" s="256"/>
    </row>
    <row r="2" spans="1:12" ht="16.5">
      <c r="A2" s="259" t="s">
        <v>281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51"/>
    </row>
    <row r="3" spans="1:12" ht="13.5">
      <c r="A3" s="52"/>
      <c r="B3" s="53"/>
      <c r="C3" s="53"/>
      <c r="D3" s="222"/>
      <c r="E3" s="162"/>
      <c r="F3" s="9"/>
      <c r="G3" s="9"/>
      <c r="H3" s="50"/>
      <c r="L3" s="22" t="s">
        <v>108</v>
      </c>
    </row>
    <row r="4" spans="1:12" s="215" customFormat="1" ht="63.75">
      <c r="A4" s="108" t="s">
        <v>17</v>
      </c>
      <c r="B4" s="109" t="s">
        <v>19</v>
      </c>
      <c r="C4" s="158" t="s">
        <v>285</v>
      </c>
      <c r="D4" s="158" t="s">
        <v>286</v>
      </c>
      <c r="E4" s="158" t="s">
        <v>214</v>
      </c>
      <c r="F4" s="158" t="s">
        <v>275</v>
      </c>
      <c r="G4" s="158" t="s">
        <v>282</v>
      </c>
      <c r="H4" s="134" t="s">
        <v>283</v>
      </c>
      <c r="I4" s="134" t="s">
        <v>254</v>
      </c>
      <c r="J4" s="176" t="s">
        <v>18</v>
      </c>
      <c r="K4" s="176" t="s">
        <v>10</v>
      </c>
      <c r="L4" s="220" t="s">
        <v>284</v>
      </c>
    </row>
    <row r="5" spans="1:12" s="28" customFormat="1" ht="11.25">
      <c r="A5" s="171">
        <v>1</v>
      </c>
      <c r="B5" s="175" t="s">
        <v>64</v>
      </c>
      <c r="C5" s="171">
        <v>3</v>
      </c>
      <c r="D5" s="175" t="s">
        <v>255</v>
      </c>
      <c r="E5" s="171">
        <v>2</v>
      </c>
      <c r="F5" s="171">
        <v>5</v>
      </c>
      <c r="G5" s="171">
        <v>6</v>
      </c>
      <c r="H5" s="175" t="s">
        <v>256</v>
      </c>
      <c r="I5" s="171">
        <v>3</v>
      </c>
      <c r="J5" s="175" t="s">
        <v>276</v>
      </c>
      <c r="K5" s="171">
        <v>9</v>
      </c>
      <c r="L5" s="175" t="s">
        <v>257</v>
      </c>
    </row>
    <row r="6" spans="1:13" s="10" customFormat="1" ht="16.5">
      <c r="A6" s="31" t="s">
        <v>26</v>
      </c>
      <c r="B6" s="93" t="s">
        <v>137</v>
      </c>
      <c r="C6" s="88">
        <f>C7+C22</f>
        <v>662399.7</v>
      </c>
      <c r="D6" s="88">
        <f>D7+D22</f>
        <v>747233.1</v>
      </c>
      <c r="E6" s="88">
        <f>E7+E22</f>
        <v>501734</v>
      </c>
      <c r="F6" s="88">
        <f>F7+F22</f>
        <v>698831.9</v>
      </c>
      <c r="G6" s="88">
        <f>G7+G22</f>
        <v>726555.1</v>
      </c>
      <c r="H6" s="154">
        <f aca="true" t="shared" si="0" ref="H6:H51">G6/Всего_доходов_2003</f>
        <v>0.547</v>
      </c>
      <c r="I6" s="144">
        <f aca="true" t="shared" si="1" ref="I6:I28">G6/E6</f>
        <v>1.448</v>
      </c>
      <c r="J6" s="145">
        <f aca="true" t="shared" si="2" ref="J6:J38">G6-D6</f>
        <v>-20678</v>
      </c>
      <c r="K6" s="144">
        <f aca="true" t="shared" si="3" ref="K6:K31">G6/D6</f>
        <v>0.972</v>
      </c>
      <c r="L6" s="177">
        <f>G6-F6</f>
        <v>27723.2</v>
      </c>
      <c r="M6" s="16"/>
    </row>
    <row r="7" spans="1:13" s="10" customFormat="1" ht="13.5">
      <c r="A7" s="31"/>
      <c r="B7" s="32" t="s">
        <v>11</v>
      </c>
      <c r="C7" s="88">
        <f>C9+C11+C13+C16</f>
        <v>572739.1</v>
      </c>
      <c r="D7" s="88">
        <f>D9+D11+D13+D16</f>
        <v>624949.6</v>
      </c>
      <c r="E7" s="88">
        <f>E9+E11+E13+E16</f>
        <v>343034.4</v>
      </c>
      <c r="F7" s="88">
        <f>F9+F11+F13+F16</f>
        <v>601181.6</v>
      </c>
      <c r="G7" s="88">
        <f>G9+G11+G13+G16</f>
        <v>609441.6</v>
      </c>
      <c r="H7" s="154">
        <f t="shared" si="0"/>
        <v>0.459</v>
      </c>
      <c r="I7" s="144">
        <f t="shared" si="1"/>
        <v>1.777</v>
      </c>
      <c r="J7" s="145">
        <f t="shared" si="2"/>
        <v>-15508</v>
      </c>
      <c r="K7" s="144">
        <f t="shared" si="3"/>
        <v>0.975</v>
      </c>
      <c r="L7" s="177">
        <f aca="true" t="shared" si="4" ref="L7:L84">G7-F7</f>
        <v>8260</v>
      </c>
      <c r="M7" s="16"/>
    </row>
    <row r="8" spans="1:13" s="10" customFormat="1" ht="13.5">
      <c r="A8" s="31" t="s">
        <v>27</v>
      </c>
      <c r="B8" s="32" t="s">
        <v>28</v>
      </c>
      <c r="C8" s="88">
        <f>SUM(C9)</f>
        <v>305691</v>
      </c>
      <c r="D8" s="88">
        <f>SUM(D9)</f>
        <v>373777.2</v>
      </c>
      <c r="E8" s="88">
        <f>SUM(E9)</f>
        <v>201497</v>
      </c>
      <c r="F8" s="88">
        <f>SUM(F9)</f>
        <v>323305.2</v>
      </c>
      <c r="G8" s="88">
        <f>SUM(G9)</f>
        <v>361234.5</v>
      </c>
      <c r="H8" s="154">
        <f t="shared" si="0"/>
        <v>0.272</v>
      </c>
      <c r="I8" s="144">
        <f t="shared" si="1"/>
        <v>1.793</v>
      </c>
      <c r="J8" s="145">
        <f t="shared" si="2"/>
        <v>-12542.7</v>
      </c>
      <c r="K8" s="144">
        <f t="shared" si="3"/>
        <v>0.966</v>
      </c>
      <c r="L8" s="177">
        <f t="shared" si="4"/>
        <v>37929.3</v>
      </c>
      <c r="M8" s="16"/>
    </row>
    <row r="9" spans="1:13" s="10" customFormat="1" ht="13.5">
      <c r="A9" s="31" t="s">
        <v>29</v>
      </c>
      <c r="B9" s="70" t="s">
        <v>12</v>
      </c>
      <c r="C9" s="88">
        <f>C10</f>
        <v>305691</v>
      </c>
      <c r="D9" s="88">
        <f>D10</f>
        <v>373777.2</v>
      </c>
      <c r="E9" s="88">
        <f>E10</f>
        <v>201497</v>
      </c>
      <c r="F9" s="88">
        <f>F10</f>
        <v>323305.2</v>
      </c>
      <c r="G9" s="88">
        <f>G10</f>
        <v>361234.5</v>
      </c>
      <c r="H9" s="154">
        <f t="shared" si="0"/>
        <v>0.272</v>
      </c>
      <c r="I9" s="144">
        <f t="shared" si="1"/>
        <v>1.793</v>
      </c>
      <c r="J9" s="145">
        <f t="shared" si="2"/>
        <v>-12542.7</v>
      </c>
      <c r="K9" s="144">
        <f t="shared" si="3"/>
        <v>0.966</v>
      </c>
      <c r="L9" s="177">
        <f t="shared" si="4"/>
        <v>37929.3</v>
      </c>
      <c r="M9" s="16"/>
    </row>
    <row r="10" spans="1:13" s="10" customFormat="1" ht="72.75" customHeight="1">
      <c r="A10" s="33" t="s">
        <v>109</v>
      </c>
      <c r="B10" s="35" t="s">
        <v>118</v>
      </c>
      <c r="C10" s="105">
        <v>305691</v>
      </c>
      <c r="D10" s="80">
        <v>373777.2</v>
      </c>
      <c r="E10" s="80">
        <v>201497</v>
      </c>
      <c r="F10" s="105">
        <v>323305.2</v>
      </c>
      <c r="G10" s="105">
        <v>361234.5</v>
      </c>
      <c r="H10" s="149">
        <f t="shared" si="0"/>
        <v>0.272</v>
      </c>
      <c r="I10" s="144">
        <f t="shared" si="1"/>
        <v>1.793</v>
      </c>
      <c r="J10" s="178">
        <f t="shared" si="2"/>
        <v>-12542.7</v>
      </c>
      <c r="K10" s="144">
        <f t="shared" si="3"/>
        <v>0.966</v>
      </c>
      <c r="L10" s="177">
        <f t="shared" si="4"/>
        <v>37929.3</v>
      </c>
      <c r="M10" s="16"/>
    </row>
    <row r="11" spans="1:13" s="10" customFormat="1" ht="27">
      <c r="A11" s="31" t="s">
        <v>134</v>
      </c>
      <c r="B11" s="38" t="s">
        <v>138</v>
      </c>
      <c r="C11" s="88">
        <f>C12</f>
        <v>23709.3</v>
      </c>
      <c r="D11" s="88">
        <f>D12</f>
        <v>23709.3</v>
      </c>
      <c r="E11" s="88">
        <f>E12</f>
        <v>16694.7</v>
      </c>
      <c r="F11" s="88">
        <f>F12</f>
        <v>20888.1</v>
      </c>
      <c r="G11" s="88">
        <f>G12</f>
        <v>24049.6</v>
      </c>
      <c r="H11" s="155">
        <f t="shared" si="0"/>
        <v>0.018</v>
      </c>
      <c r="I11" s="144">
        <f t="shared" si="1"/>
        <v>1.441</v>
      </c>
      <c r="J11" s="178">
        <f t="shared" si="2"/>
        <v>340.3</v>
      </c>
      <c r="K11" s="144">
        <f t="shared" si="3"/>
        <v>1.014</v>
      </c>
      <c r="L11" s="177">
        <f t="shared" si="4"/>
        <v>3161.5</v>
      </c>
      <c r="M11" s="16"/>
    </row>
    <row r="12" spans="1:13" s="10" customFormat="1" ht="27">
      <c r="A12" s="33" t="s">
        <v>153</v>
      </c>
      <c r="B12" s="102" t="s">
        <v>139</v>
      </c>
      <c r="C12" s="105">
        <v>23709.3</v>
      </c>
      <c r="D12" s="80">
        <v>23709.3</v>
      </c>
      <c r="E12" s="80">
        <v>16694.7</v>
      </c>
      <c r="F12" s="80">
        <v>20888.1</v>
      </c>
      <c r="G12" s="80">
        <v>24049.6</v>
      </c>
      <c r="H12" s="149">
        <f t="shared" si="0"/>
        <v>0.018</v>
      </c>
      <c r="I12" s="144">
        <f t="shared" si="1"/>
        <v>1.441</v>
      </c>
      <c r="J12" s="178">
        <f t="shared" si="2"/>
        <v>340.3</v>
      </c>
      <c r="K12" s="144">
        <f t="shared" si="3"/>
        <v>1.014</v>
      </c>
      <c r="L12" s="177">
        <f t="shared" si="4"/>
        <v>3161.5</v>
      </c>
      <c r="M12" s="16"/>
    </row>
    <row r="13" spans="1:13" s="15" customFormat="1" ht="13.5">
      <c r="A13" s="31" t="s">
        <v>82</v>
      </c>
      <c r="B13" s="38" t="s">
        <v>13</v>
      </c>
      <c r="C13" s="88">
        <f>SUM(C14)</f>
        <v>4909.8</v>
      </c>
      <c r="D13" s="88">
        <f>SUM(D14)</f>
        <v>11034.1</v>
      </c>
      <c r="E13" s="88">
        <f>SUM(E14)</f>
        <v>5052</v>
      </c>
      <c r="F13" s="88">
        <f>SUM(F14)</f>
        <v>5648.7</v>
      </c>
      <c r="G13" s="88">
        <f>SUM(G14)</f>
        <v>10565.6</v>
      </c>
      <c r="H13" s="154">
        <f t="shared" si="0"/>
        <v>0.008</v>
      </c>
      <c r="I13" s="144">
        <f t="shared" si="1"/>
        <v>2.091</v>
      </c>
      <c r="J13" s="145">
        <f t="shared" si="2"/>
        <v>-468.5</v>
      </c>
      <c r="K13" s="144">
        <f t="shared" si="3"/>
        <v>0.958</v>
      </c>
      <c r="L13" s="177">
        <f t="shared" si="4"/>
        <v>4916.9</v>
      </c>
      <c r="M13" s="17"/>
    </row>
    <row r="14" spans="1:13" s="15" customFormat="1" ht="13.5">
      <c r="A14" s="31" t="s">
        <v>30</v>
      </c>
      <c r="B14" s="32" t="s">
        <v>0</v>
      </c>
      <c r="C14" s="88">
        <f>C15</f>
        <v>4909.8</v>
      </c>
      <c r="D14" s="88">
        <f>D15</f>
        <v>11034.1</v>
      </c>
      <c r="E14" s="88">
        <f>E15</f>
        <v>5052</v>
      </c>
      <c r="F14" s="88">
        <f>F15</f>
        <v>5648.7</v>
      </c>
      <c r="G14" s="88">
        <f>G15</f>
        <v>10565.6</v>
      </c>
      <c r="H14" s="154">
        <f t="shared" si="0"/>
        <v>0.008</v>
      </c>
      <c r="I14" s="144">
        <f t="shared" si="1"/>
        <v>2.091</v>
      </c>
      <c r="J14" s="145">
        <f t="shared" si="2"/>
        <v>-468.5</v>
      </c>
      <c r="K14" s="144">
        <f t="shared" si="3"/>
        <v>0.958</v>
      </c>
      <c r="L14" s="177">
        <f t="shared" si="4"/>
        <v>4916.9</v>
      </c>
      <c r="M14" s="17"/>
    </row>
    <row r="15" spans="1:13" s="15" customFormat="1" ht="13.5">
      <c r="A15" s="33" t="s">
        <v>70</v>
      </c>
      <c r="B15" s="35" t="s">
        <v>0</v>
      </c>
      <c r="C15" s="106">
        <v>4909.8</v>
      </c>
      <c r="D15" s="21">
        <v>11034.1</v>
      </c>
      <c r="E15" s="21">
        <v>5052</v>
      </c>
      <c r="F15" s="21">
        <v>5648.7</v>
      </c>
      <c r="G15" s="21">
        <v>10565.6</v>
      </c>
      <c r="H15" s="149">
        <f t="shared" si="0"/>
        <v>0.008</v>
      </c>
      <c r="I15" s="144">
        <f t="shared" si="1"/>
        <v>2.091</v>
      </c>
      <c r="J15" s="178">
        <f t="shared" si="2"/>
        <v>-468.5</v>
      </c>
      <c r="K15" s="144">
        <f t="shared" si="3"/>
        <v>0.958</v>
      </c>
      <c r="L15" s="177">
        <f t="shared" si="4"/>
        <v>4916.9</v>
      </c>
      <c r="M15" s="17"/>
    </row>
    <row r="16" spans="1:13" s="15" customFormat="1" ht="13.5">
      <c r="A16" s="31" t="s">
        <v>83</v>
      </c>
      <c r="B16" s="32" t="s">
        <v>14</v>
      </c>
      <c r="C16" s="88">
        <f>SUM(C17+C19)</f>
        <v>238429</v>
      </c>
      <c r="D16" s="88">
        <f>SUM(D17+D19)</f>
        <v>216429</v>
      </c>
      <c r="E16" s="88">
        <f>SUM(E17+E19)</f>
        <v>119790.7</v>
      </c>
      <c r="F16" s="88">
        <f>SUM(F17+F19)</f>
        <v>251339.6</v>
      </c>
      <c r="G16" s="88">
        <f>SUM(G17+G19)</f>
        <v>213591.9</v>
      </c>
      <c r="H16" s="154">
        <f t="shared" si="0"/>
        <v>0.161</v>
      </c>
      <c r="I16" s="144">
        <f t="shared" si="1"/>
        <v>1.783</v>
      </c>
      <c r="J16" s="145">
        <f t="shared" si="2"/>
        <v>-2837.1</v>
      </c>
      <c r="K16" s="144">
        <f t="shared" si="3"/>
        <v>0.987</v>
      </c>
      <c r="L16" s="177">
        <f t="shared" si="4"/>
        <v>-37747.7</v>
      </c>
      <c r="M16" s="17"/>
    </row>
    <row r="17" spans="1:13" s="19" customFormat="1" ht="13.5">
      <c r="A17" s="31" t="s">
        <v>33</v>
      </c>
      <c r="B17" s="32" t="s">
        <v>32</v>
      </c>
      <c r="C17" s="88">
        <f>C18</f>
        <v>129209</v>
      </c>
      <c r="D17" s="88">
        <f>D18</f>
        <v>83209</v>
      </c>
      <c r="E17" s="88">
        <f>E18</f>
        <v>43400</v>
      </c>
      <c r="F17" s="88">
        <f>F18</f>
        <v>96757.4</v>
      </c>
      <c r="G17" s="88">
        <f>G18</f>
        <v>82591.8</v>
      </c>
      <c r="H17" s="154">
        <f t="shared" si="0"/>
        <v>0.062</v>
      </c>
      <c r="I17" s="144">
        <f t="shared" si="1"/>
        <v>1.903</v>
      </c>
      <c r="J17" s="145">
        <f t="shared" si="2"/>
        <v>-617.2</v>
      </c>
      <c r="K17" s="144">
        <f t="shared" si="3"/>
        <v>0.993</v>
      </c>
      <c r="L17" s="177">
        <f t="shared" si="4"/>
        <v>-14165.6</v>
      </c>
      <c r="M17" s="18"/>
    </row>
    <row r="18" spans="1:13" s="15" customFormat="1" ht="40.5">
      <c r="A18" s="33" t="s">
        <v>154</v>
      </c>
      <c r="B18" s="35" t="s">
        <v>34</v>
      </c>
      <c r="C18" s="167">
        <v>129209</v>
      </c>
      <c r="D18" s="47">
        <v>83209</v>
      </c>
      <c r="E18" s="47">
        <v>43400</v>
      </c>
      <c r="F18" s="47">
        <v>96757.4</v>
      </c>
      <c r="G18" s="47">
        <v>82591.8</v>
      </c>
      <c r="H18" s="149">
        <f t="shared" si="0"/>
        <v>0.062</v>
      </c>
      <c r="I18" s="144">
        <f t="shared" si="1"/>
        <v>1.903</v>
      </c>
      <c r="J18" s="178">
        <f t="shared" si="2"/>
        <v>-617.2</v>
      </c>
      <c r="K18" s="144">
        <f t="shared" si="3"/>
        <v>0.993</v>
      </c>
      <c r="L18" s="177">
        <f t="shared" si="4"/>
        <v>-14165.6</v>
      </c>
      <c r="M18" s="17"/>
    </row>
    <row r="19" spans="1:13" s="19" customFormat="1" ht="13.5">
      <c r="A19" s="31" t="s">
        <v>31</v>
      </c>
      <c r="B19" s="32" t="s">
        <v>15</v>
      </c>
      <c r="C19" s="88">
        <f>SUM(C20:C21)</f>
        <v>109220</v>
      </c>
      <c r="D19" s="88">
        <f>SUM(D20:D21)</f>
        <v>133220</v>
      </c>
      <c r="E19" s="88">
        <f>SUM(E20:E21)</f>
        <v>76390.7</v>
      </c>
      <c r="F19" s="88">
        <f>SUM(F20:F21)</f>
        <v>154582.2</v>
      </c>
      <c r="G19" s="88">
        <f>SUM(G20:G21)</f>
        <v>131000.1</v>
      </c>
      <c r="H19" s="154">
        <f t="shared" si="0"/>
        <v>0.099</v>
      </c>
      <c r="I19" s="144">
        <f t="shared" si="1"/>
        <v>1.715</v>
      </c>
      <c r="J19" s="145">
        <f t="shared" si="2"/>
        <v>-2219.9</v>
      </c>
      <c r="K19" s="144">
        <f t="shared" si="3"/>
        <v>0.983</v>
      </c>
      <c r="L19" s="177">
        <f t="shared" si="4"/>
        <v>-23582.1</v>
      </c>
      <c r="M19" s="18"/>
    </row>
    <row r="20" spans="1:13" s="19" customFormat="1" ht="13.5">
      <c r="A20" s="103" t="s">
        <v>155</v>
      </c>
      <c r="B20" s="35" t="s">
        <v>151</v>
      </c>
      <c r="C20" s="167">
        <v>73128.3</v>
      </c>
      <c r="D20" s="47">
        <v>89198.7</v>
      </c>
      <c r="E20" s="167">
        <v>54700</v>
      </c>
      <c r="F20" s="167">
        <v>90591.6</v>
      </c>
      <c r="G20" s="167">
        <v>75718.5</v>
      </c>
      <c r="H20" s="149">
        <f t="shared" si="0"/>
        <v>0.057</v>
      </c>
      <c r="I20" s="144">
        <f t="shared" si="1"/>
        <v>1.384</v>
      </c>
      <c r="J20" s="178">
        <f t="shared" si="2"/>
        <v>-13480.2</v>
      </c>
      <c r="K20" s="144">
        <f t="shared" si="3"/>
        <v>0.849</v>
      </c>
      <c r="L20" s="177">
        <f t="shared" si="4"/>
        <v>-14873.1</v>
      </c>
      <c r="M20" s="18"/>
    </row>
    <row r="21" spans="1:13" s="15" customFormat="1" ht="13.5">
      <c r="A21" s="103" t="s">
        <v>156</v>
      </c>
      <c r="B21" s="35" t="s">
        <v>152</v>
      </c>
      <c r="C21" s="167">
        <v>36091.7</v>
      </c>
      <c r="D21" s="47">
        <v>44021.3</v>
      </c>
      <c r="E21" s="167">
        <v>21690.7</v>
      </c>
      <c r="F21" s="167">
        <v>63990.6</v>
      </c>
      <c r="G21" s="167">
        <v>55281.6</v>
      </c>
      <c r="H21" s="149">
        <f t="shared" si="0"/>
        <v>0.042</v>
      </c>
      <c r="I21" s="144">
        <f t="shared" si="1"/>
        <v>2.549</v>
      </c>
      <c r="J21" s="178">
        <f t="shared" si="2"/>
        <v>11260.3</v>
      </c>
      <c r="K21" s="144">
        <f t="shared" si="3"/>
        <v>1.256</v>
      </c>
      <c r="L21" s="177">
        <f t="shared" si="4"/>
        <v>-8709</v>
      </c>
      <c r="M21" s="17"/>
    </row>
    <row r="22" spans="1:13" s="19" customFormat="1" ht="13.5">
      <c r="A22" s="31"/>
      <c r="B22" s="32" t="s">
        <v>16</v>
      </c>
      <c r="C22" s="88">
        <f>C23+C30+C31+C32+C49+C37</f>
        <v>89660.6</v>
      </c>
      <c r="D22" s="88">
        <f>D23+D30+D31+D32+D49+D37</f>
        <v>122283.5</v>
      </c>
      <c r="E22" s="88">
        <f>E23+E30+E31+E32+E49+E37</f>
        <v>158699.6</v>
      </c>
      <c r="F22" s="88">
        <f>F23+F30+F31+F32+F49+F37</f>
        <v>97650.3</v>
      </c>
      <c r="G22" s="88">
        <f>G23+G30+G31+G32+G49+G37</f>
        <v>117113.5</v>
      </c>
      <c r="H22" s="154">
        <f t="shared" si="0"/>
        <v>0.088</v>
      </c>
      <c r="I22" s="144">
        <f t="shared" si="1"/>
        <v>0.738</v>
      </c>
      <c r="J22" s="145">
        <f t="shared" si="2"/>
        <v>-5170</v>
      </c>
      <c r="K22" s="144">
        <f t="shared" si="3"/>
        <v>0.958</v>
      </c>
      <c r="L22" s="177">
        <f t="shared" si="4"/>
        <v>19463.2</v>
      </c>
      <c r="M22" s="18"/>
    </row>
    <row r="23" spans="1:13" s="15" customFormat="1" ht="40.5">
      <c r="A23" s="31" t="s">
        <v>36</v>
      </c>
      <c r="B23" s="32" t="s">
        <v>1</v>
      </c>
      <c r="C23" s="98">
        <f>SUM(C24:C28)</f>
        <v>79834.9</v>
      </c>
      <c r="D23" s="98">
        <f>SUM(D24:D29)</f>
        <v>98205.5</v>
      </c>
      <c r="E23" s="98">
        <f>SUM(E24:E28)</f>
        <v>149271</v>
      </c>
      <c r="F23" s="98">
        <f>SUM(F24:F29)</f>
        <v>75123.1</v>
      </c>
      <c r="G23" s="98">
        <f>SUM(G24:G29)</f>
        <v>94459.7</v>
      </c>
      <c r="H23" s="154">
        <f t="shared" si="0"/>
        <v>0.071</v>
      </c>
      <c r="I23" s="144">
        <f t="shared" si="1"/>
        <v>0.633</v>
      </c>
      <c r="J23" s="145">
        <f t="shared" si="2"/>
        <v>-3745.8</v>
      </c>
      <c r="K23" s="144">
        <f t="shared" si="3"/>
        <v>0.962</v>
      </c>
      <c r="L23" s="177">
        <f t="shared" si="4"/>
        <v>19336.6</v>
      </c>
      <c r="M23" s="17"/>
    </row>
    <row r="24" spans="1:13" s="15" customFormat="1" ht="81">
      <c r="A24" s="33" t="s">
        <v>211</v>
      </c>
      <c r="B24" s="35" t="s">
        <v>38</v>
      </c>
      <c r="C24" s="167">
        <v>61014.8</v>
      </c>
      <c r="D24" s="21">
        <v>60014.8</v>
      </c>
      <c r="E24" s="21">
        <v>41822</v>
      </c>
      <c r="F24" s="47">
        <v>55835.6</v>
      </c>
      <c r="G24" s="47">
        <v>57859.7</v>
      </c>
      <c r="H24" s="149">
        <f t="shared" si="0"/>
        <v>0.044</v>
      </c>
      <c r="I24" s="144">
        <f t="shared" si="1"/>
        <v>1.383</v>
      </c>
      <c r="J24" s="178">
        <f t="shared" si="2"/>
        <v>-2155.1</v>
      </c>
      <c r="K24" s="144">
        <f t="shared" si="3"/>
        <v>0.964</v>
      </c>
      <c r="L24" s="177">
        <f t="shared" si="4"/>
        <v>2024.1</v>
      </c>
      <c r="M24" s="17"/>
    </row>
    <row r="25" spans="1:13" s="15" customFormat="1" ht="94.5">
      <c r="A25" s="33" t="s">
        <v>212</v>
      </c>
      <c r="B25" s="35" t="s">
        <v>213</v>
      </c>
      <c r="C25" s="167">
        <v>7707.2</v>
      </c>
      <c r="D25" s="21">
        <v>22007.2</v>
      </c>
      <c r="E25" s="21">
        <v>100000</v>
      </c>
      <c r="F25" s="47">
        <v>8382</v>
      </c>
      <c r="G25" s="47">
        <v>21050.9</v>
      </c>
      <c r="H25" s="149">
        <f t="shared" si="0"/>
        <v>0.016</v>
      </c>
      <c r="I25" s="144">
        <f t="shared" si="1"/>
        <v>0.211</v>
      </c>
      <c r="J25" s="178">
        <f t="shared" si="2"/>
        <v>-956.3</v>
      </c>
      <c r="K25" s="144">
        <f t="shared" si="3"/>
        <v>0.957</v>
      </c>
      <c r="L25" s="177">
        <f t="shared" si="4"/>
        <v>12668.9</v>
      </c>
      <c r="M25" s="17"/>
    </row>
    <row r="26" spans="1:13" s="15" customFormat="1" ht="27">
      <c r="A26" s="103" t="s">
        <v>140</v>
      </c>
      <c r="B26" s="35" t="s">
        <v>124</v>
      </c>
      <c r="C26" s="167">
        <v>2480</v>
      </c>
      <c r="D26" s="21">
        <v>2580</v>
      </c>
      <c r="E26" s="21">
        <v>1832</v>
      </c>
      <c r="F26" s="27">
        <v>2470.4</v>
      </c>
      <c r="G26" s="27">
        <v>2529.9</v>
      </c>
      <c r="H26" s="149">
        <f t="shared" si="0"/>
        <v>0.002</v>
      </c>
      <c r="I26" s="144">
        <f t="shared" si="1"/>
        <v>1.381</v>
      </c>
      <c r="J26" s="178">
        <f t="shared" si="2"/>
        <v>-50.1</v>
      </c>
      <c r="K26" s="144">
        <f t="shared" si="3"/>
        <v>0.981</v>
      </c>
      <c r="L26" s="177">
        <f t="shared" si="4"/>
        <v>59.5</v>
      </c>
      <c r="M26" s="17"/>
    </row>
    <row r="27" spans="1:13" s="15" customFormat="1" ht="54" customHeight="1">
      <c r="A27" s="103" t="s">
        <v>330</v>
      </c>
      <c r="B27" s="35" t="s">
        <v>116</v>
      </c>
      <c r="C27" s="167">
        <v>0</v>
      </c>
      <c r="D27" s="21">
        <v>1470.6</v>
      </c>
      <c r="E27" s="21"/>
      <c r="F27" s="47">
        <v>0</v>
      </c>
      <c r="G27" s="47">
        <v>1470.6</v>
      </c>
      <c r="H27" s="128">
        <f t="shared" si="0"/>
        <v>0.001</v>
      </c>
      <c r="I27" s="144" t="e">
        <f t="shared" si="1"/>
        <v>#DIV/0!</v>
      </c>
      <c r="J27" s="178">
        <f t="shared" si="2"/>
        <v>0</v>
      </c>
      <c r="K27" s="144">
        <f t="shared" si="3"/>
        <v>1</v>
      </c>
      <c r="L27" s="177">
        <f t="shared" si="4"/>
        <v>1470.6</v>
      </c>
      <c r="M27" s="17"/>
    </row>
    <row r="28" spans="1:13" s="19" customFormat="1" ht="81">
      <c r="A28" s="104" t="s">
        <v>327</v>
      </c>
      <c r="B28" s="34" t="s">
        <v>71</v>
      </c>
      <c r="C28" s="107">
        <v>8632.9</v>
      </c>
      <c r="D28" s="106">
        <v>8632.9</v>
      </c>
      <c r="E28" s="106">
        <v>5617</v>
      </c>
      <c r="F28" s="27">
        <v>8435.1</v>
      </c>
      <c r="G28" s="27">
        <v>8204</v>
      </c>
      <c r="H28" s="149">
        <f t="shared" si="0"/>
        <v>0.006</v>
      </c>
      <c r="I28" s="144">
        <f t="shared" si="1"/>
        <v>1.461</v>
      </c>
      <c r="J28" s="178">
        <f t="shared" si="2"/>
        <v>-428.9</v>
      </c>
      <c r="K28" s="144">
        <f t="shared" si="3"/>
        <v>0.95</v>
      </c>
      <c r="L28" s="177">
        <f t="shared" si="4"/>
        <v>-231.1</v>
      </c>
      <c r="M28" s="18"/>
    </row>
    <row r="29" spans="1:13" s="19" customFormat="1" ht="87.75" customHeight="1">
      <c r="A29" s="226" t="s">
        <v>299</v>
      </c>
      <c r="B29" s="227" t="s">
        <v>300</v>
      </c>
      <c r="C29" s="223">
        <v>0</v>
      </c>
      <c r="D29" s="224">
        <v>3500</v>
      </c>
      <c r="E29" s="224"/>
      <c r="F29" s="225">
        <v>0</v>
      </c>
      <c r="G29" s="225">
        <v>3344.6</v>
      </c>
      <c r="H29" s="149">
        <f t="shared" si="0"/>
        <v>0.003</v>
      </c>
      <c r="I29" s="144"/>
      <c r="J29" s="178">
        <f t="shared" si="2"/>
        <v>-155.4</v>
      </c>
      <c r="K29" s="144">
        <f t="shared" si="3"/>
        <v>0.956</v>
      </c>
      <c r="L29" s="177">
        <f t="shared" si="4"/>
        <v>3344.6</v>
      </c>
      <c r="M29" s="18"/>
    </row>
    <row r="30" spans="1:13" s="19" customFormat="1" ht="18" customHeight="1">
      <c r="A30" s="118" t="s">
        <v>237</v>
      </c>
      <c r="B30" s="40" t="s">
        <v>238</v>
      </c>
      <c r="C30" s="208">
        <v>3247.5</v>
      </c>
      <c r="D30" s="208">
        <v>3797.5</v>
      </c>
      <c r="E30" s="208">
        <v>776.2</v>
      </c>
      <c r="F30" s="208">
        <v>3081.4</v>
      </c>
      <c r="G30" s="208">
        <v>3651.1</v>
      </c>
      <c r="H30" s="154">
        <f t="shared" si="0"/>
        <v>0.003</v>
      </c>
      <c r="I30" s="144"/>
      <c r="J30" s="145">
        <f t="shared" si="2"/>
        <v>-146.4</v>
      </c>
      <c r="K30" s="144">
        <f t="shared" si="3"/>
        <v>0.961</v>
      </c>
      <c r="L30" s="177">
        <f t="shared" si="4"/>
        <v>569.7</v>
      </c>
      <c r="M30" s="18"/>
    </row>
    <row r="31" spans="1:13" s="19" customFormat="1" ht="18" customHeight="1">
      <c r="A31" s="118" t="s">
        <v>163</v>
      </c>
      <c r="B31" s="40" t="s">
        <v>168</v>
      </c>
      <c r="C31" s="208">
        <v>0</v>
      </c>
      <c r="D31" s="208">
        <v>1232</v>
      </c>
      <c r="E31" s="208">
        <v>2278.5</v>
      </c>
      <c r="F31" s="208">
        <v>1952.2</v>
      </c>
      <c r="G31" s="208">
        <v>1232.4</v>
      </c>
      <c r="H31" s="154">
        <f t="shared" si="0"/>
        <v>0.001</v>
      </c>
      <c r="I31" s="144">
        <f aca="true" t="shared" si="5" ref="I31:I36">G31/E31</f>
        <v>0.541</v>
      </c>
      <c r="J31" s="145">
        <f t="shared" si="2"/>
        <v>0.4</v>
      </c>
      <c r="K31" s="144">
        <f t="shared" si="3"/>
        <v>1</v>
      </c>
      <c r="L31" s="177">
        <f t="shared" si="4"/>
        <v>-719.8</v>
      </c>
      <c r="M31" s="18"/>
    </row>
    <row r="32" spans="1:13" s="15" customFormat="1" ht="27">
      <c r="A32" s="39" t="s">
        <v>35</v>
      </c>
      <c r="B32" s="40" t="s">
        <v>2</v>
      </c>
      <c r="C32" s="90">
        <f>SUM(C33:C35)</f>
        <v>6578.2</v>
      </c>
      <c r="D32" s="90">
        <f>SUM(D33:D36)</f>
        <v>18671</v>
      </c>
      <c r="E32" s="90">
        <f>SUM(E33:E35)</f>
        <v>6373.9</v>
      </c>
      <c r="F32" s="90">
        <f>SUM(F33:F35:F36)</f>
        <v>15109.5</v>
      </c>
      <c r="G32" s="90">
        <f>SUM(G33:G35:G36)</f>
        <v>17398.2</v>
      </c>
      <c r="H32" s="154">
        <f t="shared" si="0"/>
        <v>0.013</v>
      </c>
      <c r="I32" s="144">
        <f t="shared" si="5"/>
        <v>2.73</v>
      </c>
      <c r="J32" s="145">
        <f t="shared" si="2"/>
        <v>-1272.8</v>
      </c>
      <c r="K32" s="144">
        <f>G32/D32</f>
        <v>0.932</v>
      </c>
      <c r="L32" s="177">
        <f t="shared" si="4"/>
        <v>2288.7</v>
      </c>
      <c r="M32" s="17"/>
    </row>
    <row r="33" spans="1:13" s="15" customFormat="1" ht="94.5">
      <c r="A33" s="11" t="s">
        <v>141</v>
      </c>
      <c r="B33" s="34" t="s">
        <v>103</v>
      </c>
      <c r="C33" s="107">
        <v>203.2</v>
      </c>
      <c r="D33" s="21">
        <v>172</v>
      </c>
      <c r="E33" s="21">
        <v>1205.1</v>
      </c>
      <c r="F33" s="27">
        <v>992.2</v>
      </c>
      <c r="G33" s="27">
        <v>164.6</v>
      </c>
      <c r="H33" s="149">
        <f t="shared" si="0"/>
        <v>0</v>
      </c>
      <c r="I33" s="144">
        <f t="shared" si="5"/>
        <v>0.137</v>
      </c>
      <c r="J33" s="178">
        <f t="shared" si="2"/>
        <v>-7.4</v>
      </c>
      <c r="K33" s="144">
        <f>G33/D33</f>
        <v>0.957</v>
      </c>
      <c r="L33" s="177">
        <f t="shared" si="4"/>
        <v>-827.6</v>
      </c>
      <c r="M33" s="17"/>
    </row>
    <row r="34" spans="1:13" s="15" customFormat="1" ht="54">
      <c r="A34" s="11" t="s">
        <v>329</v>
      </c>
      <c r="B34" s="34" t="s">
        <v>39</v>
      </c>
      <c r="C34" s="107">
        <v>6375</v>
      </c>
      <c r="D34" s="21">
        <v>17375</v>
      </c>
      <c r="E34" s="21">
        <v>5168.8</v>
      </c>
      <c r="F34" s="27">
        <v>13338.1</v>
      </c>
      <c r="G34" s="27">
        <v>16153.6</v>
      </c>
      <c r="H34" s="149">
        <f t="shared" si="0"/>
        <v>0.012</v>
      </c>
      <c r="I34" s="144">
        <f t="shared" si="5"/>
        <v>3.125</v>
      </c>
      <c r="J34" s="178">
        <f t="shared" si="2"/>
        <v>-1221.4</v>
      </c>
      <c r="K34" s="144">
        <f>G34/D34</f>
        <v>0.93</v>
      </c>
      <c r="L34" s="177">
        <f t="shared" si="4"/>
        <v>2815.5</v>
      </c>
      <c r="M34" s="17"/>
    </row>
    <row r="35" spans="1:13" s="15" customFormat="1" ht="54" customHeight="1">
      <c r="A35" s="11" t="s">
        <v>331</v>
      </c>
      <c r="B35" s="34" t="s">
        <v>121</v>
      </c>
      <c r="C35" s="27">
        <v>0</v>
      </c>
      <c r="D35" s="21">
        <v>353</v>
      </c>
      <c r="E35" s="21"/>
      <c r="F35" s="27">
        <v>0</v>
      </c>
      <c r="G35" s="27">
        <v>352.9</v>
      </c>
      <c r="H35" s="149">
        <f t="shared" si="0"/>
        <v>0</v>
      </c>
      <c r="I35" s="144" t="e">
        <f t="shared" si="5"/>
        <v>#DIV/0!</v>
      </c>
      <c r="J35" s="178">
        <f t="shared" si="2"/>
        <v>-0.1</v>
      </c>
      <c r="K35" s="144">
        <f>G35/D35</f>
        <v>1</v>
      </c>
      <c r="L35" s="177">
        <f t="shared" si="4"/>
        <v>352.9</v>
      </c>
      <c r="M35" s="17"/>
    </row>
    <row r="36" spans="1:13" s="15" customFormat="1" ht="90" customHeight="1">
      <c r="A36" s="11" t="s">
        <v>332</v>
      </c>
      <c r="B36" s="34" t="s">
        <v>264</v>
      </c>
      <c r="C36" s="27">
        <v>0</v>
      </c>
      <c r="D36" s="21">
        <v>771</v>
      </c>
      <c r="E36" s="21"/>
      <c r="F36" s="27">
        <v>779.2</v>
      </c>
      <c r="G36" s="27">
        <v>727.1</v>
      </c>
      <c r="H36" s="149">
        <f>G36/Всего_доходов_2003</f>
        <v>0.001</v>
      </c>
      <c r="I36" s="144" t="e">
        <f t="shared" si="5"/>
        <v>#DIV/0!</v>
      </c>
      <c r="J36" s="178">
        <f t="shared" si="2"/>
        <v>-43.9</v>
      </c>
      <c r="K36" s="144">
        <f>G36/D36</f>
        <v>0.943</v>
      </c>
      <c r="L36" s="177">
        <f t="shared" si="4"/>
        <v>-52.1</v>
      </c>
      <c r="M36" s="17"/>
    </row>
    <row r="37" spans="1:13" s="15" customFormat="1" ht="12.75" customHeight="1">
      <c r="A37" s="36" t="s">
        <v>119</v>
      </c>
      <c r="B37" s="37" t="s">
        <v>120</v>
      </c>
      <c r="C37" s="91">
        <f>SUM(C38:C48)</f>
        <v>0</v>
      </c>
      <c r="D37" s="91">
        <f>SUM(D38:D48)</f>
        <v>366.8</v>
      </c>
      <c r="E37" s="91">
        <f>SUM(E38:E48)</f>
        <v>0</v>
      </c>
      <c r="F37" s="91">
        <f>SUM(F38:F48)</f>
        <v>1901.6</v>
      </c>
      <c r="G37" s="91">
        <f>SUM(G38:G48)</f>
        <v>366.8</v>
      </c>
      <c r="H37" s="154">
        <f t="shared" si="0"/>
        <v>0</v>
      </c>
      <c r="I37" s="144">
        <v>0</v>
      </c>
      <c r="J37" s="145">
        <f t="shared" si="2"/>
        <v>0</v>
      </c>
      <c r="K37" s="144">
        <f>G37/D37</f>
        <v>1</v>
      </c>
      <c r="L37" s="177">
        <f t="shared" si="4"/>
        <v>-1534.8</v>
      </c>
      <c r="M37" s="17"/>
    </row>
    <row r="38" spans="1:13" s="15" customFormat="1" ht="40.5" customHeight="1" hidden="1">
      <c r="A38" s="11" t="s">
        <v>176</v>
      </c>
      <c r="B38" s="34" t="s">
        <v>175</v>
      </c>
      <c r="C38" s="89">
        <v>0</v>
      </c>
      <c r="D38" s="21">
        <v>0</v>
      </c>
      <c r="E38" s="21"/>
      <c r="F38" s="27">
        <v>0</v>
      </c>
      <c r="G38" s="27">
        <v>0</v>
      </c>
      <c r="H38" s="149">
        <f t="shared" si="0"/>
        <v>0</v>
      </c>
      <c r="I38" s="144" t="e">
        <f>G38/E38</f>
        <v>#DIV/0!</v>
      </c>
      <c r="J38" s="178">
        <f t="shared" si="2"/>
        <v>0</v>
      </c>
      <c r="K38" s="144" t="e">
        <f>G38/D38</f>
        <v>#DIV/0!</v>
      </c>
      <c r="L38" s="177">
        <f t="shared" si="4"/>
        <v>0</v>
      </c>
      <c r="M38" s="17"/>
    </row>
    <row r="39" spans="1:13" s="15" customFormat="1" ht="54" hidden="1">
      <c r="A39" s="11" t="s">
        <v>239</v>
      </c>
      <c r="B39" s="34" t="s">
        <v>135</v>
      </c>
      <c r="C39" s="107">
        <v>0</v>
      </c>
      <c r="D39" s="21">
        <v>0</v>
      </c>
      <c r="E39" s="21">
        <v>0</v>
      </c>
      <c r="F39" s="27">
        <v>0</v>
      </c>
      <c r="G39" s="27">
        <v>0</v>
      </c>
      <c r="H39" s="149">
        <f t="shared" si="0"/>
        <v>0</v>
      </c>
      <c r="I39" s="144">
        <v>0</v>
      </c>
      <c r="J39" s="178">
        <f aca="true" t="shared" si="6" ref="J39:J84">G39-D39</f>
        <v>0</v>
      </c>
      <c r="K39" s="144" t="e">
        <f>G39/D39</f>
        <v>#DIV/0!</v>
      </c>
      <c r="L39" s="177">
        <f t="shared" si="4"/>
        <v>0</v>
      </c>
      <c r="M39" s="17"/>
    </row>
    <row r="40" spans="1:13" s="15" customFormat="1" ht="81">
      <c r="A40" s="11" t="s">
        <v>304</v>
      </c>
      <c r="B40" s="34" t="s">
        <v>305</v>
      </c>
      <c r="C40" s="107">
        <v>0</v>
      </c>
      <c r="D40" s="21">
        <v>5</v>
      </c>
      <c r="E40" s="21"/>
      <c r="F40" s="27">
        <v>0</v>
      </c>
      <c r="G40" s="27">
        <v>5</v>
      </c>
      <c r="H40" s="149">
        <f t="shared" si="0"/>
        <v>0</v>
      </c>
      <c r="I40" s="144"/>
      <c r="J40" s="178">
        <f t="shared" si="6"/>
        <v>0</v>
      </c>
      <c r="K40" s="144">
        <f>G40/D40</f>
        <v>1</v>
      </c>
      <c r="L40" s="177">
        <f t="shared" si="4"/>
        <v>5</v>
      </c>
      <c r="M40" s="17"/>
    </row>
    <row r="41" spans="1:13" s="15" customFormat="1" ht="121.5">
      <c r="A41" s="11" t="s">
        <v>306</v>
      </c>
      <c r="B41" s="34" t="s">
        <v>307</v>
      </c>
      <c r="C41" s="107">
        <v>0</v>
      </c>
      <c r="D41" s="21">
        <v>56</v>
      </c>
      <c r="E41" s="21"/>
      <c r="F41" s="27">
        <v>0</v>
      </c>
      <c r="G41" s="27">
        <v>56</v>
      </c>
      <c r="H41" s="149">
        <f t="shared" si="0"/>
        <v>0</v>
      </c>
      <c r="I41" s="144"/>
      <c r="J41" s="178">
        <f t="shared" si="6"/>
        <v>0</v>
      </c>
      <c r="K41" s="144">
        <f>G41/D41</f>
        <v>1</v>
      </c>
      <c r="L41" s="177">
        <f t="shared" si="4"/>
        <v>56</v>
      </c>
      <c r="M41" s="17"/>
    </row>
    <row r="42" spans="1:13" s="15" customFormat="1" ht="81">
      <c r="A42" s="11" t="s">
        <v>333</v>
      </c>
      <c r="B42" s="34" t="s">
        <v>309</v>
      </c>
      <c r="C42" s="107">
        <v>0</v>
      </c>
      <c r="D42" s="21">
        <v>0</v>
      </c>
      <c r="E42" s="21"/>
      <c r="F42" s="27">
        <v>0</v>
      </c>
      <c r="G42" s="27">
        <v>0.2</v>
      </c>
      <c r="H42" s="149">
        <f t="shared" si="0"/>
        <v>0</v>
      </c>
      <c r="I42" s="144"/>
      <c r="J42" s="178">
        <f t="shared" si="6"/>
        <v>0.2</v>
      </c>
      <c r="K42" s="144">
        <v>0</v>
      </c>
      <c r="L42" s="177">
        <f t="shared" si="4"/>
        <v>0.2</v>
      </c>
      <c r="M42" s="17"/>
    </row>
    <row r="43" spans="1:13" s="15" customFormat="1" ht="81">
      <c r="A43" s="11" t="s">
        <v>308</v>
      </c>
      <c r="B43" s="34" t="s">
        <v>309</v>
      </c>
      <c r="C43" s="107">
        <v>0</v>
      </c>
      <c r="D43" s="21">
        <v>305.8</v>
      </c>
      <c r="E43" s="21"/>
      <c r="F43" s="27">
        <v>1863.7</v>
      </c>
      <c r="G43" s="27">
        <v>305.8</v>
      </c>
      <c r="H43" s="149">
        <f t="shared" si="0"/>
        <v>0</v>
      </c>
      <c r="I43" s="144"/>
      <c r="J43" s="178">
        <f t="shared" si="6"/>
        <v>0</v>
      </c>
      <c r="K43" s="144">
        <f>G43/D43</f>
        <v>1</v>
      </c>
      <c r="L43" s="177">
        <f t="shared" si="4"/>
        <v>-1557.9</v>
      </c>
      <c r="M43" s="17"/>
    </row>
    <row r="44" spans="1:13" s="15" customFormat="1" ht="81">
      <c r="A44" s="11" t="s">
        <v>334</v>
      </c>
      <c r="B44" s="34" t="s">
        <v>309</v>
      </c>
      <c r="C44" s="107">
        <v>0</v>
      </c>
      <c r="D44" s="21">
        <v>0</v>
      </c>
      <c r="E44" s="21"/>
      <c r="F44" s="27">
        <v>0</v>
      </c>
      <c r="G44" s="27">
        <v>0.2</v>
      </c>
      <c r="H44" s="149">
        <f t="shared" si="0"/>
        <v>0</v>
      </c>
      <c r="I44" s="144"/>
      <c r="J44" s="178">
        <f t="shared" si="6"/>
        <v>0.2</v>
      </c>
      <c r="K44" s="144">
        <v>0</v>
      </c>
      <c r="L44" s="177">
        <f t="shared" si="4"/>
        <v>0.2</v>
      </c>
      <c r="M44" s="17"/>
    </row>
    <row r="45" spans="1:13" s="15" customFormat="1" ht="67.5">
      <c r="A45" s="11" t="s">
        <v>310</v>
      </c>
      <c r="B45" s="34" t="s">
        <v>311</v>
      </c>
      <c r="C45" s="107">
        <v>0</v>
      </c>
      <c r="D45" s="21">
        <v>0</v>
      </c>
      <c r="E45" s="21"/>
      <c r="F45" s="27">
        <v>0</v>
      </c>
      <c r="G45" s="27">
        <v>-0.1</v>
      </c>
      <c r="H45" s="149">
        <f t="shared" si="0"/>
        <v>0</v>
      </c>
      <c r="I45" s="144"/>
      <c r="J45" s="178">
        <f t="shared" si="6"/>
        <v>-0.1</v>
      </c>
      <c r="K45" s="144">
        <v>0</v>
      </c>
      <c r="L45" s="177">
        <f t="shared" si="4"/>
        <v>-0.1</v>
      </c>
      <c r="M45" s="17"/>
    </row>
    <row r="46" spans="1:13" s="15" customFormat="1" ht="67.5">
      <c r="A46" s="11" t="s">
        <v>324</v>
      </c>
      <c r="B46" s="34" t="s">
        <v>311</v>
      </c>
      <c r="C46" s="107">
        <v>0</v>
      </c>
      <c r="D46" s="21">
        <v>0</v>
      </c>
      <c r="E46" s="21"/>
      <c r="F46" s="27">
        <v>40.5</v>
      </c>
      <c r="G46" s="27">
        <v>0</v>
      </c>
      <c r="H46" s="149">
        <f t="shared" si="0"/>
        <v>0</v>
      </c>
      <c r="I46" s="144"/>
      <c r="J46" s="178">
        <f t="shared" si="6"/>
        <v>0</v>
      </c>
      <c r="K46" s="144">
        <v>0</v>
      </c>
      <c r="L46" s="177">
        <f t="shared" si="4"/>
        <v>-40.5</v>
      </c>
      <c r="M46" s="17"/>
    </row>
    <row r="47" spans="1:13" s="15" customFormat="1" ht="67.5">
      <c r="A47" s="11" t="s">
        <v>325</v>
      </c>
      <c r="B47" s="34" t="s">
        <v>311</v>
      </c>
      <c r="C47" s="107">
        <v>0</v>
      </c>
      <c r="D47" s="21">
        <v>0</v>
      </c>
      <c r="E47" s="21"/>
      <c r="F47" s="27">
        <v>-2.6</v>
      </c>
      <c r="G47" s="27">
        <v>-0.3</v>
      </c>
      <c r="H47" s="149">
        <f t="shared" si="0"/>
        <v>0</v>
      </c>
      <c r="I47" s="144"/>
      <c r="J47" s="178">
        <f t="shared" si="6"/>
        <v>-0.3</v>
      </c>
      <c r="K47" s="144">
        <v>0</v>
      </c>
      <c r="L47" s="177">
        <f t="shared" si="4"/>
        <v>2.3</v>
      </c>
      <c r="M47" s="17"/>
    </row>
    <row r="48" spans="1:13" s="15" customFormat="1" ht="54" customHeight="1" hidden="1">
      <c r="A48" s="11" t="s">
        <v>178</v>
      </c>
      <c r="B48" s="34" t="s">
        <v>177</v>
      </c>
      <c r="C48" s="27">
        <v>0</v>
      </c>
      <c r="D48" s="21">
        <v>0</v>
      </c>
      <c r="E48" s="21"/>
      <c r="F48" s="27">
        <v>0</v>
      </c>
      <c r="G48" s="27">
        <v>0</v>
      </c>
      <c r="H48" s="149">
        <f t="shared" si="0"/>
        <v>0</v>
      </c>
      <c r="I48" s="144" t="e">
        <f>G48/E48</f>
        <v>#DIV/0!</v>
      </c>
      <c r="J48" s="178">
        <f t="shared" si="6"/>
        <v>0</v>
      </c>
      <c r="K48" s="144" t="e">
        <f>G48/D48</f>
        <v>#DIV/0!</v>
      </c>
      <c r="L48" s="177">
        <f t="shared" si="4"/>
        <v>0</v>
      </c>
      <c r="M48" s="17"/>
    </row>
    <row r="49" spans="1:13" s="15" customFormat="1" ht="13.5">
      <c r="A49" s="36" t="s">
        <v>3</v>
      </c>
      <c r="B49" s="37" t="s">
        <v>5</v>
      </c>
      <c r="C49" s="91">
        <f>SUM(C50:C53)</f>
        <v>0</v>
      </c>
      <c r="D49" s="91">
        <f>SUM(D50:D53)</f>
        <v>10.7</v>
      </c>
      <c r="E49" s="91">
        <f>SUM(E50:E52)</f>
        <v>0</v>
      </c>
      <c r="F49" s="91">
        <f>SUM(F50:F53)</f>
        <v>482.5</v>
      </c>
      <c r="G49" s="91">
        <f>SUM(G50:G53)</f>
        <v>5.3</v>
      </c>
      <c r="H49" s="154">
        <f t="shared" si="0"/>
        <v>0</v>
      </c>
      <c r="I49" s="144">
        <v>0</v>
      </c>
      <c r="J49" s="145">
        <f t="shared" si="6"/>
        <v>-5.4</v>
      </c>
      <c r="K49" s="144">
        <f>G49/D49</f>
        <v>0.495</v>
      </c>
      <c r="L49" s="177">
        <f t="shared" si="4"/>
        <v>-477.2</v>
      </c>
      <c r="M49" s="17"/>
    </row>
    <row r="50" spans="1:13" s="15" customFormat="1" ht="27">
      <c r="A50" s="11" t="s">
        <v>136</v>
      </c>
      <c r="B50" s="34" t="s">
        <v>46</v>
      </c>
      <c r="C50" s="107">
        <v>0</v>
      </c>
      <c r="D50" s="21">
        <v>0</v>
      </c>
      <c r="E50" s="21">
        <v>0</v>
      </c>
      <c r="F50" s="27">
        <v>11.3</v>
      </c>
      <c r="G50" s="27">
        <v>0</v>
      </c>
      <c r="H50" s="149">
        <f t="shared" si="0"/>
        <v>0</v>
      </c>
      <c r="I50" s="144">
        <v>0</v>
      </c>
      <c r="J50" s="178">
        <f t="shared" si="6"/>
        <v>0</v>
      </c>
      <c r="K50" s="144">
        <v>0</v>
      </c>
      <c r="L50" s="177">
        <f t="shared" si="4"/>
        <v>-11.3</v>
      </c>
      <c r="M50" s="17"/>
    </row>
    <row r="51" spans="1:13" s="15" customFormat="1" ht="27">
      <c r="A51" s="11" t="s">
        <v>326</v>
      </c>
      <c r="B51" s="34" t="s">
        <v>46</v>
      </c>
      <c r="C51" s="107">
        <v>0</v>
      </c>
      <c r="D51" s="21">
        <v>0</v>
      </c>
      <c r="E51" s="21"/>
      <c r="F51" s="27">
        <v>0</v>
      </c>
      <c r="G51" s="27">
        <v>-5.4</v>
      </c>
      <c r="H51" s="149">
        <f t="shared" si="0"/>
        <v>0</v>
      </c>
      <c r="I51" s="144"/>
      <c r="J51" s="178">
        <f t="shared" si="6"/>
        <v>-5.4</v>
      </c>
      <c r="K51" s="144">
        <v>0</v>
      </c>
      <c r="L51" s="177">
        <f t="shared" si="4"/>
        <v>-5.4</v>
      </c>
      <c r="M51" s="17"/>
    </row>
    <row r="52" spans="1:13" s="15" customFormat="1" ht="27" customHeight="1">
      <c r="A52" s="11" t="s">
        <v>273</v>
      </c>
      <c r="B52" s="34" t="s">
        <v>272</v>
      </c>
      <c r="C52" s="27">
        <v>0</v>
      </c>
      <c r="D52" s="21">
        <v>0</v>
      </c>
      <c r="E52" s="21"/>
      <c r="F52" s="27">
        <v>471.2</v>
      </c>
      <c r="G52" s="27">
        <v>0</v>
      </c>
      <c r="H52" s="149">
        <f aca="true" t="shared" si="7" ref="H52:H58">G52/Всего_доходов_2003</f>
        <v>0</v>
      </c>
      <c r="I52" s="144" t="e">
        <f aca="true" t="shared" si="8" ref="I52:I60">G52/E52</f>
        <v>#DIV/0!</v>
      </c>
      <c r="J52" s="178">
        <f t="shared" si="6"/>
        <v>0</v>
      </c>
      <c r="K52" s="144">
        <v>0</v>
      </c>
      <c r="L52" s="177">
        <f t="shared" si="4"/>
        <v>-471.2</v>
      </c>
      <c r="M52" s="17"/>
    </row>
    <row r="53" spans="1:13" s="15" customFormat="1" ht="27" customHeight="1">
      <c r="A53" s="11" t="s">
        <v>312</v>
      </c>
      <c r="B53" s="34" t="s">
        <v>272</v>
      </c>
      <c r="C53" s="27">
        <v>0</v>
      </c>
      <c r="D53" s="21">
        <v>10.7</v>
      </c>
      <c r="E53" s="21"/>
      <c r="F53" s="27">
        <v>0</v>
      </c>
      <c r="G53" s="27">
        <v>10.7</v>
      </c>
      <c r="H53" s="149">
        <f t="shared" si="7"/>
        <v>0</v>
      </c>
      <c r="I53" s="144"/>
      <c r="J53" s="178">
        <f t="shared" si="6"/>
        <v>0</v>
      </c>
      <c r="K53" s="144">
        <f>G53/D53</f>
        <v>1</v>
      </c>
      <c r="L53" s="177">
        <f t="shared" si="4"/>
        <v>10.7</v>
      </c>
      <c r="M53" s="17"/>
    </row>
    <row r="54" spans="1:13" s="15" customFormat="1" ht="13.5">
      <c r="A54" s="36" t="s">
        <v>37</v>
      </c>
      <c r="B54" s="41" t="s">
        <v>4</v>
      </c>
      <c r="C54" s="91">
        <f>SUM(C55,C57,C65,C75,C78)</f>
        <v>642177.3</v>
      </c>
      <c r="D54" s="91">
        <f>SUM(D55,D57,D65,D75,D78,D82)</f>
        <v>655867.7</v>
      </c>
      <c r="E54" s="91">
        <f>SUM(E55,E57,E65,E75,E78)</f>
        <v>126801.9</v>
      </c>
      <c r="F54" s="91">
        <f>SUM(F55,F57,F65,F75,F78)</f>
        <v>810008.9</v>
      </c>
      <c r="G54" s="91">
        <f>SUM(G55,G57,G65,G75,G78)</f>
        <v>600655.5</v>
      </c>
      <c r="H54" s="154">
        <f t="shared" si="7"/>
        <v>0.453</v>
      </c>
      <c r="I54" s="144">
        <f t="shared" si="8"/>
        <v>4.737</v>
      </c>
      <c r="J54" s="145">
        <f t="shared" si="6"/>
        <v>-55212.2</v>
      </c>
      <c r="K54" s="144">
        <f aca="true" t="shared" si="9" ref="K54:K59">G54/D54</f>
        <v>0.916</v>
      </c>
      <c r="L54" s="177">
        <f t="shared" si="4"/>
        <v>-209353.4</v>
      </c>
      <c r="M54" s="17"/>
    </row>
    <row r="55" spans="1:13" s="15" customFormat="1" ht="27">
      <c r="A55" s="42" t="s">
        <v>187</v>
      </c>
      <c r="B55" s="43" t="s">
        <v>157</v>
      </c>
      <c r="C55" s="91">
        <f>C56</f>
        <v>13691.9</v>
      </c>
      <c r="D55" s="91">
        <f>D56</f>
        <v>13691.9</v>
      </c>
      <c r="E55" s="91">
        <f>E56</f>
        <v>9010.9</v>
      </c>
      <c r="F55" s="91">
        <f>F56</f>
        <v>12972.7</v>
      </c>
      <c r="G55" s="91">
        <f>G56</f>
        <v>13691.9</v>
      </c>
      <c r="H55" s="154">
        <f t="shared" si="7"/>
        <v>0.01</v>
      </c>
      <c r="I55" s="144">
        <f t="shared" si="8"/>
        <v>1.519</v>
      </c>
      <c r="J55" s="145">
        <f t="shared" si="6"/>
        <v>0</v>
      </c>
      <c r="K55" s="144">
        <f t="shared" si="9"/>
        <v>1</v>
      </c>
      <c r="L55" s="177">
        <f t="shared" si="4"/>
        <v>719.2</v>
      </c>
      <c r="M55" s="17"/>
    </row>
    <row r="56" spans="1:13" s="15" customFormat="1" ht="27">
      <c r="A56" s="44" t="s">
        <v>277</v>
      </c>
      <c r="B56" s="45" t="s">
        <v>158</v>
      </c>
      <c r="C56" s="107">
        <v>13691.9</v>
      </c>
      <c r="D56" s="107">
        <v>13691.9</v>
      </c>
      <c r="E56" s="27">
        <v>9010.9</v>
      </c>
      <c r="F56" s="27">
        <v>12972.7</v>
      </c>
      <c r="G56" s="27">
        <v>13691.9</v>
      </c>
      <c r="H56" s="149">
        <f t="shared" si="7"/>
        <v>0.01</v>
      </c>
      <c r="I56" s="144">
        <f t="shared" si="8"/>
        <v>1.519</v>
      </c>
      <c r="J56" s="178">
        <f t="shared" si="6"/>
        <v>0</v>
      </c>
      <c r="K56" s="144">
        <f t="shared" si="9"/>
        <v>1</v>
      </c>
      <c r="L56" s="177">
        <f t="shared" si="4"/>
        <v>719.2</v>
      </c>
      <c r="M56" s="17"/>
    </row>
    <row r="57" spans="1:13" s="15" customFormat="1" ht="40.5" customHeight="1">
      <c r="A57" s="46" t="s">
        <v>193</v>
      </c>
      <c r="B57" s="41" t="s">
        <v>104</v>
      </c>
      <c r="C57" s="91">
        <f>SUM(C58:C63)</f>
        <v>32377.4</v>
      </c>
      <c r="D57" s="91">
        <f>SUM(D58:D63:D64)</f>
        <v>38532.4</v>
      </c>
      <c r="E57" s="91">
        <f>SUM(E59:E63)</f>
        <v>106243.5</v>
      </c>
      <c r="F57" s="91">
        <f>SUM(F59:F64)</f>
        <v>174975.5</v>
      </c>
      <c r="G57" s="91">
        <f>SUM(G58:G64)</f>
        <v>38532.4</v>
      </c>
      <c r="H57" s="154">
        <f t="shared" si="7"/>
        <v>0.029</v>
      </c>
      <c r="I57" s="144">
        <f t="shared" si="8"/>
        <v>0.363</v>
      </c>
      <c r="J57" s="178">
        <f t="shared" si="6"/>
        <v>0</v>
      </c>
      <c r="K57" s="144">
        <f t="shared" si="9"/>
        <v>1</v>
      </c>
      <c r="L57" s="177">
        <f t="shared" si="4"/>
        <v>-136443.1</v>
      </c>
      <c r="M57" s="17"/>
    </row>
    <row r="58" spans="1:13" s="15" customFormat="1" ht="40.5" customHeight="1">
      <c r="A58" s="44" t="s">
        <v>313</v>
      </c>
      <c r="B58" s="45" t="s">
        <v>314</v>
      </c>
      <c r="C58" s="229">
        <v>0</v>
      </c>
      <c r="D58" s="229">
        <v>6155</v>
      </c>
      <c r="E58" s="229"/>
      <c r="F58" s="229">
        <v>0</v>
      </c>
      <c r="G58" s="229">
        <v>6155</v>
      </c>
      <c r="H58" s="128">
        <f t="shared" si="7"/>
        <v>0.005</v>
      </c>
      <c r="I58" s="128"/>
      <c r="J58" s="178">
        <f t="shared" si="6"/>
        <v>0</v>
      </c>
      <c r="K58" s="144">
        <f t="shared" si="9"/>
        <v>1</v>
      </c>
      <c r="L58" s="177">
        <f t="shared" si="4"/>
        <v>6155</v>
      </c>
      <c r="M58" s="17"/>
    </row>
    <row r="59" spans="1:12" s="19" customFormat="1" ht="60" customHeight="1">
      <c r="A59" s="82" t="s">
        <v>186</v>
      </c>
      <c r="B59" s="81" t="s">
        <v>172</v>
      </c>
      <c r="C59" s="107">
        <v>32377.4</v>
      </c>
      <c r="D59" s="107">
        <v>32377.4</v>
      </c>
      <c r="E59" s="27">
        <v>67574.3</v>
      </c>
      <c r="F59" s="27">
        <v>96731.5</v>
      </c>
      <c r="G59" s="27">
        <v>32377.4</v>
      </c>
      <c r="H59" s="149">
        <f aca="true" t="shared" si="10" ref="H59:H65">G59/Всего_доходов_2003</f>
        <v>0.024</v>
      </c>
      <c r="I59" s="144">
        <f t="shared" si="8"/>
        <v>0.479</v>
      </c>
      <c r="J59" s="178">
        <f t="shared" si="6"/>
        <v>0</v>
      </c>
      <c r="K59" s="144">
        <f t="shared" si="9"/>
        <v>1</v>
      </c>
      <c r="L59" s="177">
        <f t="shared" si="4"/>
        <v>-64354.1</v>
      </c>
    </row>
    <row r="60" spans="1:12" s="19" customFormat="1" ht="56.25" customHeight="1" hidden="1">
      <c r="A60" s="82" t="s">
        <v>194</v>
      </c>
      <c r="B60" s="81" t="s">
        <v>195</v>
      </c>
      <c r="C60" s="107">
        <v>0</v>
      </c>
      <c r="D60" s="107">
        <v>0</v>
      </c>
      <c r="E60" s="27">
        <v>20909.2</v>
      </c>
      <c r="F60" s="27">
        <v>0</v>
      </c>
      <c r="G60" s="27">
        <v>0</v>
      </c>
      <c r="H60" s="149">
        <f t="shared" si="10"/>
        <v>0</v>
      </c>
      <c r="I60" s="144">
        <f t="shared" si="8"/>
        <v>0</v>
      </c>
      <c r="J60" s="178">
        <f t="shared" si="6"/>
        <v>0</v>
      </c>
      <c r="K60" s="182">
        <v>0</v>
      </c>
      <c r="L60" s="177">
        <f t="shared" si="4"/>
        <v>0</v>
      </c>
    </row>
    <row r="61" spans="1:12" s="19" customFormat="1" ht="61.5" customHeight="1" hidden="1">
      <c r="A61" s="82" t="s">
        <v>207</v>
      </c>
      <c r="B61" s="81" t="s">
        <v>208</v>
      </c>
      <c r="C61" s="107">
        <v>0</v>
      </c>
      <c r="D61" s="107">
        <v>0</v>
      </c>
      <c r="E61" s="27">
        <v>0</v>
      </c>
      <c r="F61" s="27">
        <v>0</v>
      </c>
      <c r="G61" s="27">
        <v>0</v>
      </c>
      <c r="H61" s="149">
        <f t="shared" si="10"/>
        <v>0</v>
      </c>
      <c r="I61" s="144">
        <v>0</v>
      </c>
      <c r="J61" s="178">
        <f t="shared" si="6"/>
        <v>0</v>
      </c>
      <c r="K61" s="144" t="e">
        <f>G61/D61</f>
        <v>#DIV/0!</v>
      </c>
      <c r="L61" s="177">
        <f t="shared" si="4"/>
        <v>0</v>
      </c>
    </row>
    <row r="62" spans="1:12" s="19" customFormat="1" ht="44.25" customHeight="1">
      <c r="A62" s="82" t="s">
        <v>196</v>
      </c>
      <c r="B62" s="81" t="s">
        <v>197</v>
      </c>
      <c r="C62" s="107">
        <v>0</v>
      </c>
      <c r="D62" s="107">
        <v>0</v>
      </c>
      <c r="E62" s="27">
        <v>2760</v>
      </c>
      <c r="F62" s="27">
        <v>10629.2</v>
      </c>
      <c r="G62" s="27">
        <v>0</v>
      </c>
      <c r="H62" s="149">
        <f t="shared" si="10"/>
        <v>0</v>
      </c>
      <c r="I62" s="144">
        <f>G62/E62</f>
        <v>0</v>
      </c>
      <c r="J62" s="178">
        <f t="shared" si="6"/>
        <v>0</v>
      </c>
      <c r="K62" s="144">
        <v>0</v>
      </c>
      <c r="L62" s="177">
        <f t="shared" si="4"/>
        <v>-10629.2</v>
      </c>
    </row>
    <row r="63" spans="1:16" s="19" customFormat="1" ht="87.75" customHeight="1" hidden="1">
      <c r="A63" s="82" t="s">
        <v>192</v>
      </c>
      <c r="B63" s="81" t="s">
        <v>170</v>
      </c>
      <c r="C63" s="107">
        <v>0</v>
      </c>
      <c r="D63" s="107">
        <v>0</v>
      </c>
      <c r="E63" s="27">
        <v>15000</v>
      </c>
      <c r="F63" s="27">
        <v>0</v>
      </c>
      <c r="G63" s="27">
        <v>0</v>
      </c>
      <c r="H63" s="149">
        <f t="shared" si="10"/>
        <v>0</v>
      </c>
      <c r="I63" s="144">
        <f>G63/E63</f>
        <v>0</v>
      </c>
      <c r="J63" s="178">
        <f t="shared" si="6"/>
        <v>0</v>
      </c>
      <c r="K63" s="182">
        <v>0</v>
      </c>
      <c r="L63" s="177">
        <f t="shared" si="4"/>
        <v>0</v>
      </c>
      <c r="P63" s="19" t="s">
        <v>242</v>
      </c>
    </row>
    <row r="64" spans="1:12" s="19" customFormat="1" ht="94.5">
      <c r="A64" s="82" t="s">
        <v>268</v>
      </c>
      <c r="B64" s="81" t="s">
        <v>269</v>
      </c>
      <c r="C64" s="107">
        <v>0</v>
      </c>
      <c r="D64" s="107">
        <v>0</v>
      </c>
      <c r="E64" s="27"/>
      <c r="F64" s="27">
        <v>67614.8</v>
      </c>
      <c r="G64" s="27">
        <v>0</v>
      </c>
      <c r="H64" s="149">
        <f t="shared" si="10"/>
        <v>0</v>
      </c>
      <c r="I64" s="144"/>
      <c r="J64" s="178">
        <f t="shared" si="6"/>
        <v>0</v>
      </c>
      <c r="K64" s="144">
        <v>0</v>
      </c>
      <c r="L64" s="177">
        <f t="shared" si="4"/>
        <v>-67614.8</v>
      </c>
    </row>
    <row r="65" spans="1:12" s="19" customFormat="1" ht="13.5" customHeight="1">
      <c r="A65" s="99" t="s">
        <v>185</v>
      </c>
      <c r="B65" s="100" t="s">
        <v>160</v>
      </c>
      <c r="C65" s="92">
        <f>SUM(C66:C74)</f>
        <v>596108</v>
      </c>
      <c r="D65" s="92">
        <f>SUM(D66:D74)</f>
        <v>603243.4</v>
      </c>
      <c r="E65" s="92">
        <f>SUM(E66:E74)</f>
        <v>10500.2</v>
      </c>
      <c r="F65" s="92">
        <f>SUM(F66:F74)</f>
        <v>622197.7</v>
      </c>
      <c r="G65" s="92">
        <f>SUM(G66:G74)</f>
        <v>548031.2</v>
      </c>
      <c r="H65" s="154">
        <f t="shared" si="10"/>
        <v>0.413</v>
      </c>
      <c r="I65" s="144">
        <f>G65/E65</f>
        <v>52.192</v>
      </c>
      <c r="J65" s="145">
        <f t="shared" si="6"/>
        <v>-55212.2</v>
      </c>
      <c r="K65" s="144">
        <f>G65/D65</f>
        <v>0.908</v>
      </c>
      <c r="L65" s="177">
        <f t="shared" si="4"/>
        <v>-74166.5</v>
      </c>
    </row>
    <row r="66" spans="1:12" s="19" customFormat="1" ht="55.5" customHeight="1">
      <c r="A66" s="82" t="s">
        <v>301</v>
      </c>
      <c r="B66" s="81" t="s">
        <v>243</v>
      </c>
      <c r="C66" s="107">
        <v>299900</v>
      </c>
      <c r="D66" s="107">
        <v>299900</v>
      </c>
      <c r="E66" s="107"/>
      <c r="F66" s="107">
        <v>599900</v>
      </c>
      <c r="G66" s="107">
        <v>299900</v>
      </c>
      <c r="H66" s="128">
        <f aca="true" t="shared" si="11" ref="H66:H84">G66/Всего_доходов_2003</f>
        <v>0.226</v>
      </c>
      <c r="I66" s="182"/>
      <c r="J66" s="178">
        <f t="shared" si="6"/>
        <v>0</v>
      </c>
      <c r="K66" s="182">
        <f>G66/D66</f>
        <v>1</v>
      </c>
      <c r="L66" s="174">
        <f aca="true" t="shared" si="12" ref="L66:L73">G66-F66</f>
        <v>-300000</v>
      </c>
    </row>
    <row r="67" spans="1:12" s="19" customFormat="1" ht="49.5" customHeight="1">
      <c r="A67" s="237" t="s">
        <v>317</v>
      </c>
      <c r="B67" s="235" t="s">
        <v>318</v>
      </c>
      <c r="C67" s="233">
        <v>0</v>
      </c>
      <c r="D67" s="107">
        <v>2500</v>
      </c>
      <c r="E67" s="107"/>
      <c r="F67" s="107">
        <v>0</v>
      </c>
      <c r="G67" s="107">
        <v>2500</v>
      </c>
      <c r="H67" s="128">
        <f t="shared" si="11"/>
        <v>0.002</v>
      </c>
      <c r="I67" s="182"/>
      <c r="J67" s="178">
        <f t="shared" si="6"/>
        <v>0</v>
      </c>
      <c r="K67" s="182">
        <f>G67/D67</f>
        <v>1</v>
      </c>
      <c r="L67" s="174">
        <f t="shared" si="12"/>
        <v>2500</v>
      </c>
    </row>
    <row r="68" spans="1:12" s="19" customFormat="1" ht="50.25" customHeight="1" hidden="1">
      <c r="A68" s="236" t="s">
        <v>265</v>
      </c>
      <c r="B68" s="234" t="s">
        <v>171</v>
      </c>
      <c r="C68" s="107">
        <v>0</v>
      </c>
      <c r="D68" s="107">
        <v>0</v>
      </c>
      <c r="E68" s="107"/>
      <c r="F68" s="107">
        <v>0</v>
      </c>
      <c r="G68" s="107">
        <v>0</v>
      </c>
      <c r="H68" s="128">
        <f>G68/Всего_доходов_2003</f>
        <v>0</v>
      </c>
      <c r="I68" s="182"/>
      <c r="J68" s="178">
        <f t="shared" si="6"/>
        <v>0</v>
      </c>
      <c r="K68" s="182">
        <v>0</v>
      </c>
      <c r="L68" s="174">
        <f>G68-F68</f>
        <v>0</v>
      </c>
    </row>
    <row r="69" spans="1:12" s="19" customFormat="1" ht="46.5" customHeight="1" hidden="1">
      <c r="A69" s="82" t="s">
        <v>240</v>
      </c>
      <c r="B69" s="117" t="s">
        <v>171</v>
      </c>
      <c r="C69" s="107">
        <v>0</v>
      </c>
      <c r="D69" s="107">
        <v>0</v>
      </c>
      <c r="E69" s="107"/>
      <c r="F69" s="107">
        <v>0</v>
      </c>
      <c r="G69" s="107">
        <v>0</v>
      </c>
      <c r="H69" s="128">
        <f t="shared" si="11"/>
        <v>0</v>
      </c>
      <c r="I69" s="182"/>
      <c r="J69" s="178">
        <f t="shared" si="6"/>
        <v>0</v>
      </c>
      <c r="K69" s="182">
        <v>0</v>
      </c>
      <c r="L69" s="174">
        <f t="shared" si="12"/>
        <v>0</v>
      </c>
    </row>
    <row r="70" spans="1:12" s="19" customFormat="1" ht="204.75" customHeight="1">
      <c r="A70" s="82" t="s">
        <v>241</v>
      </c>
      <c r="B70" s="117" t="s">
        <v>244</v>
      </c>
      <c r="C70" s="107">
        <v>22597</v>
      </c>
      <c r="D70" s="107">
        <v>25541.9</v>
      </c>
      <c r="E70" s="27">
        <v>10075.2</v>
      </c>
      <c r="F70" s="27">
        <v>21287.7</v>
      </c>
      <c r="G70" s="27">
        <v>25051.1</v>
      </c>
      <c r="H70" s="128">
        <f t="shared" si="11"/>
        <v>0.019</v>
      </c>
      <c r="I70" s="144">
        <f>G70/E70</f>
        <v>2.486</v>
      </c>
      <c r="J70" s="178">
        <f t="shared" si="6"/>
        <v>-490.8</v>
      </c>
      <c r="K70" s="182">
        <f>G70/D70</f>
        <v>0.981</v>
      </c>
      <c r="L70" s="174">
        <f t="shared" si="12"/>
        <v>3763.4</v>
      </c>
    </row>
    <row r="71" spans="1:12" s="19" customFormat="1" ht="108.75" customHeight="1">
      <c r="A71" s="82" t="s">
        <v>302</v>
      </c>
      <c r="B71" s="228" t="s">
        <v>303</v>
      </c>
      <c r="C71" s="107">
        <v>273611</v>
      </c>
      <c r="D71" s="107">
        <v>273611</v>
      </c>
      <c r="E71" s="27"/>
      <c r="F71" s="27">
        <v>0</v>
      </c>
      <c r="G71" s="27">
        <v>218889.6</v>
      </c>
      <c r="H71" s="149">
        <f t="shared" si="11"/>
        <v>0.165</v>
      </c>
      <c r="I71" s="144"/>
      <c r="J71" s="178">
        <f t="shared" si="6"/>
        <v>-54721.4</v>
      </c>
      <c r="K71" s="182">
        <f>G71/D71</f>
        <v>0.8</v>
      </c>
      <c r="L71" s="174">
        <f t="shared" si="12"/>
        <v>218889.6</v>
      </c>
    </row>
    <row r="72" spans="1:12" s="19" customFormat="1" ht="51.75" customHeight="1">
      <c r="A72" s="82" t="s">
        <v>270</v>
      </c>
      <c r="B72" s="117" t="s">
        <v>271</v>
      </c>
      <c r="C72" s="107">
        <v>0</v>
      </c>
      <c r="D72" s="107">
        <v>1324.5</v>
      </c>
      <c r="E72" s="27"/>
      <c r="F72" s="27">
        <v>1010</v>
      </c>
      <c r="G72" s="27">
        <v>1324.5</v>
      </c>
      <c r="H72" s="128">
        <f>G72/Всего_доходов_2003</f>
        <v>0.001</v>
      </c>
      <c r="I72" s="144"/>
      <c r="J72" s="178">
        <f t="shared" si="6"/>
        <v>0</v>
      </c>
      <c r="K72" s="182">
        <f>G72/D72</f>
        <v>1</v>
      </c>
      <c r="L72" s="174">
        <f t="shared" si="12"/>
        <v>314.5</v>
      </c>
    </row>
    <row r="73" spans="1:12" s="19" customFormat="1" ht="87" customHeight="1">
      <c r="A73" s="238" t="s">
        <v>315</v>
      </c>
      <c r="B73" s="117" t="s">
        <v>316</v>
      </c>
      <c r="C73" s="107">
        <v>0</v>
      </c>
      <c r="D73" s="107">
        <v>366</v>
      </c>
      <c r="E73" s="27"/>
      <c r="F73" s="27">
        <v>0</v>
      </c>
      <c r="G73" s="27">
        <v>366</v>
      </c>
      <c r="H73" s="149">
        <f t="shared" si="11"/>
        <v>0</v>
      </c>
      <c r="I73" s="144"/>
      <c r="J73" s="178">
        <f t="shared" si="6"/>
        <v>0</v>
      </c>
      <c r="K73" s="182">
        <f>G73/D73</f>
        <v>1</v>
      </c>
      <c r="L73" s="174">
        <f t="shared" si="12"/>
        <v>366</v>
      </c>
    </row>
    <row r="74" spans="1:12" s="19" customFormat="1" ht="67.5" customHeight="1" hidden="1">
      <c r="A74" s="236" t="s">
        <v>216</v>
      </c>
      <c r="B74" s="117" t="s">
        <v>215</v>
      </c>
      <c r="C74" s="107">
        <v>0</v>
      </c>
      <c r="D74" s="107">
        <v>0</v>
      </c>
      <c r="E74" s="27">
        <v>425</v>
      </c>
      <c r="F74" s="27">
        <v>0</v>
      </c>
      <c r="G74" s="27">
        <v>0</v>
      </c>
      <c r="H74" s="128">
        <f t="shared" si="11"/>
        <v>0</v>
      </c>
      <c r="I74" s="144">
        <f>G74/E74</f>
        <v>0</v>
      </c>
      <c r="J74" s="178">
        <f t="shared" si="6"/>
        <v>0</v>
      </c>
      <c r="K74" s="182">
        <v>0</v>
      </c>
      <c r="L74" s="174">
        <f t="shared" si="4"/>
        <v>0</v>
      </c>
    </row>
    <row r="75" spans="1:13" s="15" customFormat="1" ht="13.5">
      <c r="A75" s="46" t="s">
        <v>190</v>
      </c>
      <c r="B75" s="41" t="s">
        <v>189</v>
      </c>
      <c r="C75" s="92">
        <f>C76+C77</f>
        <v>0</v>
      </c>
      <c r="D75" s="92">
        <f>D76+D77</f>
        <v>400</v>
      </c>
      <c r="E75" s="92">
        <f>E76+E77</f>
        <v>1047.3</v>
      </c>
      <c r="F75" s="92">
        <f>F76+F77</f>
        <v>-147.4</v>
      </c>
      <c r="G75" s="92">
        <f>G76+G77</f>
        <v>400</v>
      </c>
      <c r="H75" s="92">
        <f t="shared" si="11"/>
        <v>0</v>
      </c>
      <c r="I75" s="144">
        <f>G75/E75</f>
        <v>0.382</v>
      </c>
      <c r="J75" s="145">
        <f t="shared" si="6"/>
        <v>0</v>
      </c>
      <c r="K75" s="144">
        <f>G75/D75</f>
        <v>1</v>
      </c>
      <c r="L75" s="177">
        <f t="shared" si="4"/>
        <v>547.4</v>
      </c>
      <c r="M75" s="17"/>
    </row>
    <row r="76" spans="1:13" s="15" customFormat="1" ht="27">
      <c r="A76" s="168" t="s">
        <v>217</v>
      </c>
      <c r="B76" s="169" t="s">
        <v>188</v>
      </c>
      <c r="C76" s="107">
        <v>0</v>
      </c>
      <c r="D76" s="107">
        <v>400</v>
      </c>
      <c r="E76" s="27">
        <v>900</v>
      </c>
      <c r="F76" s="107">
        <v>0</v>
      </c>
      <c r="G76" s="107">
        <v>400</v>
      </c>
      <c r="H76" s="149">
        <f t="shared" si="11"/>
        <v>0</v>
      </c>
      <c r="I76" s="144">
        <f>G76/E76</f>
        <v>0.444</v>
      </c>
      <c r="J76" s="178">
        <f t="shared" si="6"/>
        <v>0</v>
      </c>
      <c r="K76" s="144">
        <f>G76/D76</f>
        <v>1</v>
      </c>
      <c r="L76" s="177">
        <f t="shared" si="4"/>
        <v>400</v>
      </c>
      <c r="M76" s="17"/>
    </row>
    <row r="77" spans="1:13" s="15" customFormat="1" ht="27">
      <c r="A77" s="168" t="s">
        <v>191</v>
      </c>
      <c r="B77" s="169" t="s">
        <v>188</v>
      </c>
      <c r="C77" s="107">
        <v>0</v>
      </c>
      <c r="D77" s="107">
        <v>0</v>
      </c>
      <c r="E77" s="27">
        <v>147.3</v>
      </c>
      <c r="F77" s="107">
        <v>-147.4</v>
      </c>
      <c r="G77" s="107">
        <v>0</v>
      </c>
      <c r="H77" s="149">
        <f t="shared" si="11"/>
        <v>0</v>
      </c>
      <c r="I77" s="144">
        <f>G77/E77</f>
        <v>0</v>
      </c>
      <c r="J77" s="178">
        <f t="shared" si="6"/>
        <v>0</v>
      </c>
      <c r="K77" s="144">
        <v>0</v>
      </c>
      <c r="L77" s="177">
        <f t="shared" si="4"/>
        <v>147.4</v>
      </c>
      <c r="M77" s="17"/>
    </row>
    <row r="78" spans="1:13" s="15" customFormat="1" ht="81">
      <c r="A78" s="46" t="s">
        <v>209</v>
      </c>
      <c r="B78" s="41" t="s">
        <v>210</v>
      </c>
      <c r="C78" s="92">
        <f>C81</f>
        <v>0</v>
      </c>
      <c r="D78" s="92">
        <f>SUM(D79:D81)</f>
        <v>327.4</v>
      </c>
      <c r="E78" s="92">
        <f>E81</f>
        <v>0</v>
      </c>
      <c r="F78" s="92">
        <f>F81</f>
        <v>10.4</v>
      </c>
      <c r="G78" s="92">
        <f>G81</f>
        <v>0</v>
      </c>
      <c r="H78" s="154">
        <f>G78/Всего_доходов_2003</f>
        <v>0</v>
      </c>
      <c r="I78" s="144">
        <v>0</v>
      </c>
      <c r="J78" s="164">
        <f t="shared" si="6"/>
        <v>-327.4</v>
      </c>
      <c r="K78" s="144">
        <f>G78/D78</f>
        <v>0</v>
      </c>
      <c r="L78" s="177">
        <f t="shared" si="4"/>
        <v>-10.4</v>
      </c>
      <c r="M78" s="17"/>
    </row>
    <row r="79" spans="1:13" s="15" customFormat="1" ht="33" customHeight="1">
      <c r="A79" s="237" t="s">
        <v>319</v>
      </c>
      <c r="B79" s="235" t="s">
        <v>320</v>
      </c>
      <c r="C79" s="240">
        <v>0</v>
      </c>
      <c r="D79" s="27">
        <v>327.4</v>
      </c>
      <c r="E79" s="27"/>
      <c r="F79" s="27">
        <v>0</v>
      </c>
      <c r="G79" s="27">
        <v>327.4</v>
      </c>
      <c r="H79" s="149">
        <f t="shared" si="11"/>
        <v>0</v>
      </c>
      <c r="I79" s="182"/>
      <c r="J79" s="163">
        <f t="shared" si="6"/>
        <v>0</v>
      </c>
      <c r="K79" s="144">
        <f>G79/D79</f>
        <v>1</v>
      </c>
      <c r="L79" s="177">
        <f t="shared" si="4"/>
        <v>327.4</v>
      </c>
      <c r="M79" s="17"/>
    </row>
    <row r="80" spans="1:13" s="15" customFormat="1" ht="39.75" customHeight="1" hidden="1">
      <c r="A80" s="239" t="s">
        <v>266</v>
      </c>
      <c r="B80" s="241" t="s">
        <v>267</v>
      </c>
      <c r="C80" s="27">
        <v>0</v>
      </c>
      <c r="D80" s="27">
        <v>0</v>
      </c>
      <c r="E80" s="27"/>
      <c r="F80" s="27">
        <v>0</v>
      </c>
      <c r="G80" s="27">
        <v>0</v>
      </c>
      <c r="H80" s="128">
        <v>0</v>
      </c>
      <c r="I80" s="144"/>
      <c r="J80" s="163">
        <f t="shared" si="6"/>
        <v>0</v>
      </c>
      <c r="K80" s="144">
        <v>0</v>
      </c>
      <c r="L80" s="177">
        <f>G80-F80</f>
        <v>0</v>
      </c>
      <c r="M80" s="17"/>
    </row>
    <row r="81" spans="1:13" s="15" customFormat="1" ht="27">
      <c r="A81" s="44" t="s">
        <v>261</v>
      </c>
      <c r="B81" s="244" t="s">
        <v>262</v>
      </c>
      <c r="C81" s="107">
        <v>0</v>
      </c>
      <c r="D81" s="107">
        <v>0</v>
      </c>
      <c r="E81" s="27">
        <v>0</v>
      </c>
      <c r="F81" s="107">
        <v>10.4</v>
      </c>
      <c r="G81" s="107">
        <v>0</v>
      </c>
      <c r="H81" s="149">
        <f>G81/Всего_доходов_2003</f>
        <v>0</v>
      </c>
      <c r="I81" s="144">
        <v>0</v>
      </c>
      <c r="J81" s="163">
        <f t="shared" si="6"/>
        <v>0</v>
      </c>
      <c r="K81" s="144">
        <v>0</v>
      </c>
      <c r="L81" s="174">
        <f t="shared" si="4"/>
        <v>-10.4</v>
      </c>
      <c r="M81" s="17"/>
    </row>
    <row r="82" spans="1:13" s="15" customFormat="1" ht="40.5">
      <c r="A82" s="242" t="s">
        <v>321</v>
      </c>
      <c r="B82" s="245" t="s">
        <v>322</v>
      </c>
      <c r="C82" s="243">
        <f>SUM(C83)</f>
        <v>0</v>
      </c>
      <c r="D82" s="231">
        <f>SUM(D83)</f>
        <v>-327.4</v>
      </c>
      <c r="E82" s="230"/>
      <c r="F82" s="231">
        <f>SUM(F83)</f>
        <v>0</v>
      </c>
      <c r="G82" s="231">
        <f>SUM(G83)</f>
        <v>-327.4</v>
      </c>
      <c r="H82" s="232">
        <f>G82/Всего_доходов_2003</f>
        <v>0</v>
      </c>
      <c r="I82" s="144"/>
      <c r="J82" s="164">
        <f t="shared" si="6"/>
        <v>0</v>
      </c>
      <c r="K82" s="144">
        <f>G82/D82</f>
        <v>1</v>
      </c>
      <c r="L82" s="177">
        <f t="shared" si="4"/>
        <v>-327.4</v>
      </c>
      <c r="M82" s="17"/>
    </row>
    <row r="83" spans="1:13" s="15" customFormat="1" ht="67.5">
      <c r="A83" s="247" t="s">
        <v>328</v>
      </c>
      <c r="B83" s="249" t="s">
        <v>323</v>
      </c>
      <c r="C83" s="233">
        <v>0</v>
      </c>
      <c r="D83" s="107">
        <v>-327.4</v>
      </c>
      <c r="E83" s="27"/>
      <c r="F83" s="107">
        <v>0</v>
      </c>
      <c r="G83" s="107">
        <v>-327.4</v>
      </c>
      <c r="H83" s="149">
        <f>G83/Всего_доходов_2003</f>
        <v>0</v>
      </c>
      <c r="I83" s="144"/>
      <c r="J83" s="163">
        <f t="shared" si="6"/>
        <v>0</v>
      </c>
      <c r="K83" s="144">
        <f>G83/D83</f>
        <v>1</v>
      </c>
      <c r="L83" s="177">
        <f t="shared" si="4"/>
        <v>-327.4</v>
      </c>
      <c r="M83" s="17"/>
    </row>
    <row r="84" spans="1:13" s="20" customFormat="1" ht="13.5">
      <c r="A84" s="246"/>
      <c r="B84" s="248" t="s">
        <v>6</v>
      </c>
      <c r="C84" s="152">
        <f>C6+C54</f>
        <v>1304577</v>
      </c>
      <c r="D84" s="152">
        <f>D6+D54</f>
        <v>1403100.8</v>
      </c>
      <c r="E84" s="152">
        <f>E6+E54</f>
        <v>628535.9</v>
      </c>
      <c r="F84" s="152">
        <f>F6+F54</f>
        <v>1508840.8</v>
      </c>
      <c r="G84" s="152">
        <f>G6+G54</f>
        <v>1327210.6</v>
      </c>
      <c r="H84" s="62">
        <f t="shared" si="11"/>
        <v>1</v>
      </c>
      <c r="I84" s="144">
        <f>G84/E84</f>
        <v>2.112</v>
      </c>
      <c r="J84" s="145">
        <f t="shared" si="6"/>
        <v>-75890.2</v>
      </c>
      <c r="K84" s="144">
        <f>G84/D84</f>
        <v>0.946</v>
      </c>
      <c r="L84" s="177">
        <f t="shared" si="4"/>
        <v>-181630.2</v>
      </c>
      <c r="M84" s="170"/>
    </row>
    <row r="85" spans="1:12" s="9" customFormat="1" ht="13.5">
      <c r="A85" s="30"/>
      <c r="B85" s="4"/>
      <c r="C85" s="165"/>
      <c r="D85" s="160"/>
      <c r="E85" s="160"/>
      <c r="F85" s="148"/>
      <c r="G85" s="148"/>
      <c r="H85" s="129"/>
      <c r="I85" s="144"/>
      <c r="J85" s="179"/>
      <c r="K85" s="144"/>
      <c r="L85" s="180"/>
    </row>
    <row r="86" spans="1:12" ht="16.5">
      <c r="A86" s="13" t="s">
        <v>9</v>
      </c>
      <c r="B86" s="204" t="s">
        <v>7</v>
      </c>
      <c r="C86" s="4"/>
      <c r="D86" s="160"/>
      <c r="E86" s="160"/>
      <c r="F86" s="87"/>
      <c r="G86" s="87"/>
      <c r="H86" s="130"/>
      <c r="I86" s="144"/>
      <c r="J86" s="172"/>
      <c r="K86" s="144"/>
      <c r="L86" s="181"/>
    </row>
    <row r="87" spans="1:12" s="20" customFormat="1" ht="13.5">
      <c r="A87" s="60" t="s">
        <v>20</v>
      </c>
      <c r="B87" s="153" t="s">
        <v>23</v>
      </c>
      <c r="C87" s="61">
        <f>C88+C89+C90+C93+C96+C97</f>
        <v>15840.5</v>
      </c>
      <c r="D87" s="61">
        <f>D88+D89+D90+D93+D96+D97</f>
        <v>18062.6</v>
      </c>
      <c r="E87" s="61">
        <f>E88+E89+E90+E93+E96+E97</f>
        <v>101188.6</v>
      </c>
      <c r="F87" s="61">
        <f>F88+F89+F90+F97+F96</f>
        <v>15859.2</v>
      </c>
      <c r="G87" s="61">
        <f>G88+G89+G90+G97+G96</f>
        <v>17965.6</v>
      </c>
      <c r="H87" s="62">
        <f>G87/G243</f>
        <v>0.013</v>
      </c>
      <c r="I87" s="144">
        <f>G87/E87</f>
        <v>0.178</v>
      </c>
      <c r="J87" s="145">
        <f>G87-D87</f>
        <v>-97</v>
      </c>
      <c r="K87" s="144">
        <f>G87/D87</f>
        <v>0.995</v>
      </c>
      <c r="L87" s="146">
        <f>G87-F87</f>
        <v>2106.4</v>
      </c>
    </row>
    <row r="88" spans="1:12" ht="40.5">
      <c r="A88" s="12" t="s">
        <v>43</v>
      </c>
      <c r="B88" s="8" t="s">
        <v>51</v>
      </c>
      <c r="C88" s="125">
        <v>2057</v>
      </c>
      <c r="D88" s="125">
        <v>2026</v>
      </c>
      <c r="E88" s="125">
        <v>1270.4</v>
      </c>
      <c r="F88" s="125">
        <v>1946.2</v>
      </c>
      <c r="G88" s="125">
        <v>2021.1</v>
      </c>
      <c r="H88" s="135">
        <f>G88/$G$243</f>
        <v>0.002</v>
      </c>
      <c r="I88" s="144">
        <f>G88/E88</f>
        <v>1.591</v>
      </c>
      <c r="J88" s="172">
        <f>G88-D88</f>
        <v>-4.9</v>
      </c>
      <c r="K88" s="173">
        <f>G88/D88</f>
        <v>0.998</v>
      </c>
      <c r="L88" s="174">
        <f>G88-F88</f>
        <v>74.9</v>
      </c>
    </row>
    <row r="89" spans="1:12" ht="40.5">
      <c r="A89" s="12" t="s">
        <v>44</v>
      </c>
      <c r="B89" s="8" t="s">
        <v>105</v>
      </c>
      <c r="C89" s="125">
        <v>2480.3</v>
      </c>
      <c r="D89" s="125">
        <v>2728.2</v>
      </c>
      <c r="E89" s="125">
        <f>2637.3+0.1</f>
        <v>2637.4</v>
      </c>
      <c r="F89" s="125">
        <v>2332.9</v>
      </c>
      <c r="G89" s="125">
        <v>2701.9</v>
      </c>
      <c r="H89" s="135">
        <f>G89/$G$243</f>
        <v>0.002</v>
      </c>
      <c r="I89" s="144">
        <f>G89/E89</f>
        <v>1.024</v>
      </c>
      <c r="J89" s="172">
        <f>G89-D89</f>
        <v>-26.3</v>
      </c>
      <c r="K89" s="173">
        <f>G89/D89</f>
        <v>0.99</v>
      </c>
      <c r="L89" s="174">
        <f aca="true" t="shared" si="13" ref="L89:L101">G89-F89</f>
        <v>369</v>
      </c>
    </row>
    <row r="90" spans="1:12" ht="54">
      <c r="A90" s="12" t="s">
        <v>125</v>
      </c>
      <c r="B90" s="8" t="s">
        <v>106</v>
      </c>
      <c r="C90" s="125">
        <f>C92</f>
        <v>5122.9</v>
      </c>
      <c r="D90" s="125">
        <f>D92</f>
        <v>5483.9</v>
      </c>
      <c r="E90" s="125">
        <f>E92</f>
        <v>2879.9</v>
      </c>
      <c r="F90" s="125">
        <f>F92</f>
        <v>4529.7</v>
      </c>
      <c r="G90" s="125">
        <f>G92</f>
        <v>5418.2</v>
      </c>
      <c r="H90" s="135">
        <f>G90/$G$243</f>
        <v>0.004</v>
      </c>
      <c r="I90" s="144">
        <f>G90/E90</f>
        <v>1.881</v>
      </c>
      <c r="J90" s="172">
        <f>G90-D90</f>
        <v>-65.7</v>
      </c>
      <c r="K90" s="173">
        <f>G90/D90</f>
        <v>0.988</v>
      </c>
      <c r="L90" s="174">
        <f t="shared" si="13"/>
        <v>888.5</v>
      </c>
    </row>
    <row r="91" spans="1:12" ht="13.5">
      <c r="A91" s="12"/>
      <c r="B91" s="8" t="s">
        <v>25</v>
      </c>
      <c r="C91" s="125"/>
      <c r="D91" s="125"/>
      <c r="E91" s="125"/>
      <c r="F91" s="125"/>
      <c r="G91" s="125"/>
      <c r="H91" s="135"/>
      <c r="I91" s="144"/>
      <c r="J91" s="172"/>
      <c r="K91" s="173"/>
      <c r="L91" s="174"/>
    </row>
    <row r="92" spans="1:12" s="29" customFormat="1" ht="40.5">
      <c r="A92" s="156" t="s">
        <v>179</v>
      </c>
      <c r="B92" s="26" t="s">
        <v>167</v>
      </c>
      <c r="C92" s="126">
        <v>5122.9</v>
      </c>
      <c r="D92" s="126">
        <v>5483.9</v>
      </c>
      <c r="E92" s="126">
        <v>2879.9</v>
      </c>
      <c r="F92" s="126">
        <v>4529.7</v>
      </c>
      <c r="G92" s="126">
        <v>5418.2</v>
      </c>
      <c r="H92" s="149">
        <f aca="true" t="shared" si="14" ref="H92:H97">G92/$G$243</f>
        <v>0.004</v>
      </c>
      <c r="I92" s="144">
        <f>G92/E92</f>
        <v>1.881</v>
      </c>
      <c r="J92" s="178">
        <f aca="true" t="shared" si="15" ref="J92:J97">G92-D92</f>
        <v>-65.7</v>
      </c>
      <c r="K92" s="182">
        <f>G92/D92</f>
        <v>0.988</v>
      </c>
      <c r="L92" s="174">
        <f t="shared" si="13"/>
        <v>888.5</v>
      </c>
    </row>
    <row r="93" spans="1:12" ht="40.5" customHeight="1" hidden="1">
      <c r="A93" s="12" t="s">
        <v>218</v>
      </c>
      <c r="B93" s="8" t="s">
        <v>219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49">
        <f t="shared" si="14"/>
        <v>0</v>
      </c>
      <c r="I93" s="144">
        <v>0</v>
      </c>
      <c r="J93" s="178">
        <f t="shared" si="15"/>
        <v>0</v>
      </c>
      <c r="K93" s="182">
        <v>0</v>
      </c>
      <c r="L93" s="174">
        <f t="shared" si="13"/>
        <v>0</v>
      </c>
    </row>
    <row r="94" spans="1:12" ht="13.5" customHeight="1" hidden="1">
      <c r="A94" s="12"/>
      <c r="B94" s="8" t="s">
        <v>25</v>
      </c>
      <c r="C94" s="125"/>
      <c r="D94" s="119"/>
      <c r="E94" s="125"/>
      <c r="F94" s="119"/>
      <c r="G94" s="119"/>
      <c r="H94" s="149">
        <f t="shared" si="14"/>
        <v>0</v>
      </c>
      <c r="I94" s="144" t="e">
        <f>G94/E94</f>
        <v>#DIV/0!</v>
      </c>
      <c r="J94" s="178">
        <f t="shared" si="15"/>
        <v>0</v>
      </c>
      <c r="K94" s="182" t="e">
        <f>G94/D94</f>
        <v>#DIV/0!</v>
      </c>
      <c r="L94" s="174">
        <f t="shared" si="13"/>
        <v>0</v>
      </c>
    </row>
    <row r="95" spans="1:12" s="29" customFormat="1" ht="54" customHeight="1" hidden="1">
      <c r="A95" s="12"/>
      <c r="B95" s="26" t="s">
        <v>122</v>
      </c>
      <c r="C95" s="126">
        <v>0</v>
      </c>
      <c r="D95" s="121">
        <v>0</v>
      </c>
      <c r="E95" s="126"/>
      <c r="F95" s="121"/>
      <c r="G95" s="121"/>
      <c r="H95" s="149">
        <f t="shared" si="14"/>
        <v>0</v>
      </c>
      <c r="I95" s="144" t="e">
        <f>G95/E95</f>
        <v>#DIV/0!</v>
      </c>
      <c r="J95" s="178">
        <f t="shared" si="15"/>
        <v>0</v>
      </c>
      <c r="K95" s="182" t="e">
        <f>G95/D95</f>
        <v>#DIV/0!</v>
      </c>
      <c r="L95" s="174">
        <f t="shared" si="13"/>
        <v>0</v>
      </c>
    </row>
    <row r="96" spans="1:12" ht="41.25" customHeight="1" hidden="1">
      <c r="A96" s="12"/>
      <c r="B96" s="8" t="s">
        <v>297</v>
      </c>
      <c r="C96" s="125">
        <v>0</v>
      </c>
      <c r="D96" s="119">
        <v>0</v>
      </c>
      <c r="E96" s="125">
        <v>0</v>
      </c>
      <c r="F96" s="119">
        <v>0</v>
      </c>
      <c r="G96" s="119">
        <v>0</v>
      </c>
      <c r="H96" s="135">
        <f t="shared" si="14"/>
        <v>0</v>
      </c>
      <c r="I96" s="144">
        <v>0</v>
      </c>
      <c r="J96" s="172">
        <f t="shared" si="15"/>
        <v>0</v>
      </c>
      <c r="K96" s="173">
        <v>0</v>
      </c>
      <c r="L96" s="174">
        <f t="shared" si="13"/>
        <v>0</v>
      </c>
    </row>
    <row r="97" spans="1:12" s="1" customFormat="1" ht="13.5">
      <c r="A97" s="12" t="s">
        <v>68</v>
      </c>
      <c r="B97" s="8" t="s">
        <v>107</v>
      </c>
      <c r="C97" s="125">
        <v>6180.3</v>
      </c>
      <c r="D97" s="125">
        <v>7824.5</v>
      </c>
      <c r="E97" s="125">
        <v>94400.9</v>
      </c>
      <c r="F97" s="125">
        <v>7050.4</v>
      </c>
      <c r="G97" s="125">
        <v>7824.4</v>
      </c>
      <c r="H97" s="135">
        <f t="shared" si="14"/>
        <v>0.006</v>
      </c>
      <c r="I97" s="144">
        <f>G97/E97</f>
        <v>0.083</v>
      </c>
      <c r="J97" s="172">
        <f t="shared" si="15"/>
        <v>-0.1</v>
      </c>
      <c r="K97" s="173">
        <f>G97/D97</f>
        <v>1</v>
      </c>
      <c r="L97" s="174">
        <f t="shared" si="13"/>
        <v>774</v>
      </c>
    </row>
    <row r="98" spans="1:12" s="1" customFormat="1" ht="13.5">
      <c r="A98" s="12"/>
      <c r="B98" s="200" t="s">
        <v>112</v>
      </c>
      <c r="C98" s="125"/>
      <c r="D98" s="125"/>
      <c r="E98" s="125"/>
      <c r="F98" s="125"/>
      <c r="G98" s="125"/>
      <c r="H98" s="135"/>
      <c r="I98" s="144"/>
      <c r="J98" s="172"/>
      <c r="K98" s="173"/>
      <c r="L98" s="174">
        <f t="shared" si="13"/>
        <v>0</v>
      </c>
    </row>
    <row r="99" spans="1:12" ht="13.5">
      <c r="A99" s="12"/>
      <c r="B99" s="7" t="s">
        <v>91</v>
      </c>
      <c r="C99" s="125">
        <v>4149.3</v>
      </c>
      <c r="D99" s="5">
        <v>4404</v>
      </c>
      <c r="E99" s="5">
        <v>3787.1</v>
      </c>
      <c r="F99" s="5">
        <v>4099.2</v>
      </c>
      <c r="G99" s="5">
        <v>4384.8</v>
      </c>
      <c r="H99" s="135">
        <f>G99/$G$243</f>
        <v>0.003</v>
      </c>
      <c r="I99" s="144">
        <f>G99/E99</f>
        <v>1.158</v>
      </c>
      <c r="J99" s="172">
        <f>G99-D99</f>
        <v>-19.2</v>
      </c>
      <c r="K99" s="173">
        <f>G99/D99</f>
        <v>0.996</v>
      </c>
      <c r="L99" s="174">
        <f t="shared" si="13"/>
        <v>285.6</v>
      </c>
    </row>
    <row r="100" spans="1:12" ht="13.5" customHeight="1" hidden="1">
      <c r="A100" s="12"/>
      <c r="B100" s="7" t="s">
        <v>94</v>
      </c>
      <c r="C100" s="125">
        <v>0</v>
      </c>
      <c r="D100" s="5">
        <v>0</v>
      </c>
      <c r="E100" s="5"/>
      <c r="F100" s="5"/>
      <c r="G100" s="5"/>
      <c r="H100" s="135">
        <f>G100/$G$243</f>
        <v>0</v>
      </c>
      <c r="I100" s="144" t="e">
        <f>G100/E100</f>
        <v>#DIV/0!</v>
      </c>
      <c r="J100" s="172">
        <f>G100-D100</f>
        <v>0</v>
      </c>
      <c r="K100" s="173" t="str">
        <f>IF(G100=0,"0,0%",G100/D100)</f>
        <v>0,0%</v>
      </c>
      <c r="L100" s="174">
        <f t="shared" si="13"/>
        <v>0</v>
      </c>
    </row>
    <row r="101" spans="1:12" ht="13.5">
      <c r="A101" s="12"/>
      <c r="B101" s="14" t="s">
        <v>128</v>
      </c>
      <c r="C101" s="125">
        <v>9040</v>
      </c>
      <c r="D101" s="125">
        <v>9269</v>
      </c>
      <c r="E101" s="125">
        <v>4280.8</v>
      </c>
      <c r="F101" s="125">
        <v>9407.7</v>
      </c>
      <c r="G101" s="125">
        <v>9203.1</v>
      </c>
      <c r="H101" s="135">
        <f>G101/$G$243</f>
        <v>0.007</v>
      </c>
      <c r="I101" s="144">
        <f>G101/E101</f>
        <v>2.15</v>
      </c>
      <c r="J101" s="172">
        <f>G101-D101</f>
        <v>-65.9</v>
      </c>
      <c r="K101" s="173">
        <f>G101/D101</f>
        <v>0.993</v>
      </c>
      <c r="L101" s="174">
        <f t="shared" si="13"/>
        <v>-204.6</v>
      </c>
    </row>
    <row r="102" spans="1:12" s="29" customFormat="1" ht="13.5" customHeight="1" hidden="1">
      <c r="A102" s="77"/>
      <c r="B102" s="96" t="s">
        <v>113</v>
      </c>
      <c r="C102" s="84"/>
      <c r="D102" s="131"/>
      <c r="E102" s="131"/>
      <c r="F102" s="126"/>
      <c r="G102" s="126"/>
      <c r="H102" s="135"/>
      <c r="I102" s="144" t="e">
        <f>G102/E102</f>
        <v>#DIV/0!</v>
      </c>
      <c r="J102" s="172"/>
      <c r="K102" s="173"/>
      <c r="L102" s="181"/>
    </row>
    <row r="103" spans="1:12" s="29" customFormat="1" ht="13.5" customHeight="1" hidden="1">
      <c r="A103" s="77"/>
      <c r="B103" s="86" t="s">
        <v>100</v>
      </c>
      <c r="C103" s="84"/>
      <c r="D103" s="131"/>
      <c r="E103" s="131"/>
      <c r="F103" s="126">
        <v>0</v>
      </c>
      <c r="G103" s="126">
        <v>0</v>
      </c>
      <c r="H103" s="135">
        <f>G103/$G$243</f>
        <v>0</v>
      </c>
      <c r="I103" s="144" t="e">
        <f>G103/E103</f>
        <v>#DIV/0!</v>
      </c>
      <c r="J103" s="172">
        <f>G103-D103</f>
        <v>0</v>
      </c>
      <c r="K103" s="173" t="e">
        <f>G103/D103</f>
        <v>#DIV/0!</v>
      </c>
      <c r="L103" s="181" t="e">
        <f>G103-#REF!</f>
        <v>#REF!</v>
      </c>
    </row>
    <row r="104" spans="1:12" s="20" customFormat="1" ht="13.5">
      <c r="A104" s="60" t="s">
        <v>22</v>
      </c>
      <c r="B104" s="150" t="s">
        <v>24</v>
      </c>
      <c r="C104" s="151">
        <f>C107+C111+C128+C106+C105</f>
        <v>817569.3</v>
      </c>
      <c r="D104" s="151">
        <f>D107+D111+D128+D106+D105</f>
        <v>913506.5</v>
      </c>
      <c r="E104" s="151">
        <f>E107+E111+E128+E106+E105</f>
        <v>428854.8</v>
      </c>
      <c r="F104" s="151">
        <f>F107+F111+F128+F106+F105</f>
        <v>943685.6</v>
      </c>
      <c r="G104" s="151">
        <f>G107+G111+G128+G106+G105</f>
        <v>844307.1</v>
      </c>
      <c r="H104" s="62">
        <f>G104/$G$243</f>
        <v>0.63</v>
      </c>
      <c r="I104" s="144">
        <f>G104/E104</f>
        <v>1.969</v>
      </c>
      <c r="J104" s="145">
        <f>G104-D104</f>
        <v>-69199.4</v>
      </c>
      <c r="K104" s="144">
        <f>G104/D104</f>
        <v>0.924</v>
      </c>
      <c r="L104" s="146">
        <f>G104-F104</f>
        <v>-99378.5</v>
      </c>
    </row>
    <row r="105" spans="1:12" s="20" customFormat="1" ht="27">
      <c r="A105" s="12" t="s">
        <v>294</v>
      </c>
      <c r="B105" s="205" t="s">
        <v>295</v>
      </c>
      <c r="C105" s="131">
        <v>0</v>
      </c>
      <c r="D105" s="131">
        <v>924.5</v>
      </c>
      <c r="E105" s="131"/>
      <c r="F105" s="131">
        <v>0</v>
      </c>
      <c r="G105" s="131">
        <v>924.5</v>
      </c>
      <c r="H105" s="128">
        <f>G105/$G$243</f>
        <v>0.001</v>
      </c>
      <c r="I105" s="221"/>
      <c r="J105" s="178">
        <f>G105-D105</f>
        <v>0</v>
      </c>
      <c r="K105" s="182">
        <f>G105/D105</f>
        <v>1</v>
      </c>
      <c r="L105" s="183">
        <f>G105-F105</f>
        <v>924.5</v>
      </c>
    </row>
    <row r="106" spans="1:12" s="20" customFormat="1" ht="13.5">
      <c r="A106" s="12" t="s">
        <v>226</v>
      </c>
      <c r="B106" s="205" t="s">
        <v>227</v>
      </c>
      <c r="C106" s="131">
        <v>676</v>
      </c>
      <c r="D106" s="131">
        <v>350</v>
      </c>
      <c r="E106" s="131"/>
      <c r="F106" s="131">
        <v>299</v>
      </c>
      <c r="G106" s="131">
        <v>350</v>
      </c>
      <c r="H106" s="128">
        <f>G106/$G$243</f>
        <v>0</v>
      </c>
      <c r="I106" s="182"/>
      <c r="J106" s="178">
        <f>G106-D106</f>
        <v>0</v>
      </c>
      <c r="K106" s="182">
        <f>G106/D106</f>
        <v>1</v>
      </c>
      <c r="L106" s="183">
        <f>G106-F106</f>
        <v>51</v>
      </c>
    </row>
    <row r="107" spans="1:12" ht="13.5">
      <c r="A107" s="3" t="s">
        <v>45</v>
      </c>
      <c r="B107" s="7" t="s">
        <v>84</v>
      </c>
      <c r="C107" s="5">
        <f>C109</f>
        <v>25000</v>
      </c>
      <c r="D107" s="87">
        <f>D109</f>
        <v>54818.4</v>
      </c>
      <c r="E107" s="87">
        <f>E109</f>
        <v>20444.1</v>
      </c>
      <c r="F107" s="87">
        <f>F109</f>
        <v>27500</v>
      </c>
      <c r="G107" s="87">
        <f>G109</f>
        <v>54818.4</v>
      </c>
      <c r="H107" s="135">
        <f>G107/$G$243</f>
        <v>0.041</v>
      </c>
      <c r="I107" s="144">
        <f>G107/E107</f>
        <v>2.681</v>
      </c>
      <c r="J107" s="172">
        <f>G107-D107</f>
        <v>0</v>
      </c>
      <c r="K107" s="173">
        <f>G107/D107</f>
        <v>1</v>
      </c>
      <c r="L107" s="181">
        <f>G107-F107</f>
        <v>27318.4</v>
      </c>
    </row>
    <row r="108" spans="1:12" ht="13.5">
      <c r="A108" s="3"/>
      <c r="B108" s="6" t="s">
        <v>25</v>
      </c>
      <c r="C108" s="5"/>
      <c r="D108" s="5"/>
      <c r="E108" s="5"/>
      <c r="F108" s="140"/>
      <c r="G108" s="140"/>
      <c r="H108" s="135"/>
      <c r="I108" s="144"/>
      <c r="J108" s="172"/>
      <c r="K108" s="173"/>
      <c r="L108" s="181"/>
    </row>
    <row r="109" spans="1:12" ht="40.5">
      <c r="A109" s="3"/>
      <c r="B109" s="7" t="s">
        <v>296</v>
      </c>
      <c r="C109" s="5">
        <v>25000</v>
      </c>
      <c r="D109" s="5">
        <v>54818.4</v>
      </c>
      <c r="E109" s="5">
        <v>20444.1</v>
      </c>
      <c r="F109" s="5">
        <v>27500</v>
      </c>
      <c r="G109" s="5">
        <v>54818.4</v>
      </c>
      <c r="H109" s="142">
        <f>G109/$G$243</f>
        <v>0.041</v>
      </c>
      <c r="I109" s="221">
        <f>G109/E109</f>
        <v>2.681</v>
      </c>
      <c r="J109" s="172">
        <f>G109-D109</f>
        <v>0</v>
      </c>
      <c r="K109" s="173">
        <f>G109/D109</f>
        <v>1</v>
      </c>
      <c r="L109" s="181">
        <f>G109-F109</f>
        <v>27318.4</v>
      </c>
    </row>
    <row r="110" spans="1:12" s="29" customFormat="1" ht="13.5" customHeight="1" hidden="1">
      <c r="A110" s="12"/>
      <c r="B110" s="26" t="s">
        <v>123</v>
      </c>
      <c r="C110" s="126"/>
      <c r="D110" s="126"/>
      <c r="E110" s="126"/>
      <c r="F110" s="126"/>
      <c r="G110" s="126"/>
      <c r="H110" s="149">
        <f>G110/$G$243</f>
        <v>0</v>
      </c>
      <c r="I110" s="144" t="e">
        <f>G110/E110</f>
        <v>#DIV/0!</v>
      </c>
      <c r="J110" s="178">
        <f>G110-D110</f>
        <v>0</v>
      </c>
      <c r="K110" s="182" t="e">
        <f>G110/D110</f>
        <v>#DIV/0!</v>
      </c>
      <c r="L110" s="181">
        <f aca="true" t="shared" si="16" ref="L110:L134">G110-F110</f>
        <v>0</v>
      </c>
    </row>
    <row r="111" spans="1:12" s="1" customFormat="1" ht="13.5">
      <c r="A111" s="3" t="s">
        <v>85</v>
      </c>
      <c r="B111" s="7" t="s">
        <v>86</v>
      </c>
      <c r="C111" s="5">
        <f>C113+C125</f>
        <v>784991.2</v>
      </c>
      <c r="D111" s="5">
        <f>D113+D125</f>
        <v>853522.8</v>
      </c>
      <c r="E111" s="5">
        <f>E113+E125</f>
        <v>406131.1</v>
      </c>
      <c r="F111" s="5">
        <f>F113+F125</f>
        <v>912379.4</v>
      </c>
      <c r="G111" s="5">
        <f>G113+G125</f>
        <v>784396.9</v>
      </c>
      <c r="H111" s="135">
        <f>G111/$G$243</f>
        <v>0.585</v>
      </c>
      <c r="I111" s="144">
        <f>G111/E111</f>
        <v>1.931</v>
      </c>
      <c r="J111" s="172">
        <f>G111-D111</f>
        <v>-69125.9</v>
      </c>
      <c r="K111" s="173">
        <f>G111/D111</f>
        <v>0.919</v>
      </c>
      <c r="L111" s="181">
        <f t="shared" si="16"/>
        <v>-127982.5</v>
      </c>
    </row>
    <row r="112" spans="1:12" s="1" customFormat="1" ht="13.5">
      <c r="A112" s="3"/>
      <c r="B112" s="6" t="s">
        <v>159</v>
      </c>
      <c r="C112" s="5"/>
      <c r="D112" s="5"/>
      <c r="E112" s="141"/>
      <c r="F112" s="141"/>
      <c r="G112" s="141"/>
      <c r="H112" s="135"/>
      <c r="I112" s="144"/>
      <c r="J112" s="172"/>
      <c r="K112" s="173"/>
      <c r="L112" s="181"/>
    </row>
    <row r="113" spans="1:12" s="1" customFormat="1" ht="27">
      <c r="A113" s="3"/>
      <c r="B113" s="7" t="s">
        <v>164</v>
      </c>
      <c r="C113" s="5">
        <v>222670.9</v>
      </c>
      <c r="D113" s="5">
        <f>39311.9+D119+0.1</f>
        <v>274585.8</v>
      </c>
      <c r="E113" s="5">
        <v>160744.2</v>
      </c>
      <c r="F113" s="5">
        <v>227256.9</v>
      </c>
      <c r="G113" s="5">
        <f>24962.6+G119</f>
        <v>251451.4</v>
      </c>
      <c r="H113" s="135">
        <f>G113/$G$243</f>
        <v>0.187</v>
      </c>
      <c r="I113" s="144">
        <f>G113/E113</f>
        <v>1.564</v>
      </c>
      <c r="J113" s="172">
        <f>G113-D113</f>
        <v>-23134.4</v>
      </c>
      <c r="K113" s="173">
        <f>G113/D113</f>
        <v>0.916</v>
      </c>
      <c r="L113" s="181">
        <f>G113-F113</f>
        <v>24194.5</v>
      </c>
    </row>
    <row r="114" spans="1:12" s="1" customFormat="1" ht="67.5" customHeight="1" hidden="1">
      <c r="A114" s="3"/>
      <c r="B114" s="7" t="s">
        <v>110</v>
      </c>
      <c r="C114" s="5"/>
      <c r="D114" s="120"/>
      <c r="E114" s="5">
        <v>0</v>
      </c>
      <c r="F114" s="120">
        <v>0</v>
      </c>
      <c r="G114" s="120">
        <v>0</v>
      </c>
      <c r="H114" s="135">
        <f>G114/$G$243</f>
        <v>0</v>
      </c>
      <c r="I114" s="144" t="e">
        <f>G114/E114</f>
        <v>#DIV/0!</v>
      </c>
      <c r="J114" s="172">
        <f>G114-D114</f>
        <v>0</v>
      </c>
      <c r="K114" s="173" t="e">
        <f>G114/D114</f>
        <v>#DIV/0!</v>
      </c>
      <c r="L114" s="181">
        <f t="shared" si="16"/>
        <v>0</v>
      </c>
    </row>
    <row r="115" spans="1:12" s="1" customFormat="1" ht="54" customHeight="1" hidden="1">
      <c r="A115" s="3"/>
      <c r="B115" s="7" t="s">
        <v>111</v>
      </c>
      <c r="C115" s="5"/>
      <c r="D115" s="120"/>
      <c r="E115" s="5">
        <v>0</v>
      </c>
      <c r="F115" s="120">
        <v>0</v>
      </c>
      <c r="G115" s="120">
        <v>0</v>
      </c>
      <c r="H115" s="135">
        <f>G115/$G$243</f>
        <v>0</v>
      </c>
      <c r="I115" s="144" t="e">
        <f>G115/E115</f>
        <v>#DIV/0!</v>
      </c>
      <c r="J115" s="172">
        <f>G115-D115</f>
        <v>0</v>
      </c>
      <c r="K115" s="173" t="e">
        <f>G115/D115</f>
        <v>#DIV/0!</v>
      </c>
      <c r="L115" s="181">
        <f t="shared" si="16"/>
        <v>0</v>
      </c>
    </row>
    <row r="116" spans="1:12" s="1" customFormat="1" ht="40.5" customHeight="1" hidden="1">
      <c r="A116" s="3"/>
      <c r="B116" s="7" t="s">
        <v>87</v>
      </c>
      <c r="C116" s="5"/>
      <c r="D116" s="120"/>
      <c r="E116" s="5">
        <v>0</v>
      </c>
      <c r="F116" s="120">
        <v>0</v>
      </c>
      <c r="G116" s="120">
        <v>0</v>
      </c>
      <c r="H116" s="135">
        <f>G116/$G$243</f>
        <v>0</v>
      </c>
      <c r="I116" s="144" t="e">
        <f>G116/E116</f>
        <v>#DIV/0!</v>
      </c>
      <c r="J116" s="172">
        <f>G116-D116</f>
        <v>0</v>
      </c>
      <c r="K116" s="173" t="e">
        <f>G116/D116</f>
        <v>#DIV/0!</v>
      </c>
      <c r="L116" s="181">
        <f t="shared" si="16"/>
        <v>0</v>
      </c>
    </row>
    <row r="117" spans="1:12" s="29" customFormat="1" ht="13.5" customHeight="1" hidden="1">
      <c r="A117" s="12"/>
      <c r="B117" s="26" t="s">
        <v>123</v>
      </c>
      <c r="C117" s="126"/>
      <c r="D117" s="121"/>
      <c r="E117" s="126">
        <v>0</v>
      </c>
      <c r="F117" s="121">
        <v>0</v>
      </c>
      <c r="G117" s="121">
        <v>0</v>
      </c>
      <c r="H117" s="135">
        <f>G117/$G$243</f>
        <v>0</v>
      </c>
      <c r="I117" s="144" t="e">
        <f>G117/E117</f>
        <v>#DIV/0!</v>
      </c>
      <c r="J117" s="172">
        <f>G117-D117</f>
        <v>0</v>
      </c>
      <c r="K117" s="173" t="e">
        <f>G117/D117</f>
        <v>#DIV/0!</v>
      </c>
      <c r="L117" s="181">
        <f t="shared" si="16"/>
        <v>0</v>
      </c>
    </row>
    <row r="118" spans="1:12" s="29" customFormat="1" ht="13.5" customHeight="1">
      <c r="A118" s="12"/>
      <c r="B118" s="114" t="s">
        <v>159</v>
      </c>
      <c r="C118" s="126"/>
      <c r="D118" s="126"/>
      <c r="E118" s="126"/>
      <c r="F118" s="126"/>
      <c r="G118" s="126"/>
      <c r="H118" s="135"/>
      <c r="I118" s="144"/>
      <c r="J118" s="172"/>
      <c r="K118" s="173"/>
      <c r="L118" s="181"/>
    </row>
    <row r="119" spans="1:12" s="29" customFormat="1" ht="27">
      <c r="A119" s="12"/>
      <c r="B119" s="115" t="s">
        <v>225</v>
      </c>
      <c r="C119" s="126">
        <v>182379.5</v>
      </c>
      <c r="D119" s="126">
        <f>SUM(D120:D124)</f>
        <v>235273.8</v>
      </c>
      <c r="E119" s="126">
        <f>SUM(E120:E124)</f>
        <v>235273.9</v>
      </c>
      <c r="F119" s="126">
        <f>SUM(F120:F124)</f>
        <v>211186.7</v>
      </c>
      <c r="G119" s="126">
        <f>SUM(G120:G124)</f>
        <v>226488.8</v>
      </c>
      <c r="H119" s="135">
        <f aca="true" t="shared" si="17" ref="H119:H125">G119/$G$243</f>
        <v>0.169</v>
      </c>
      <c r="I119" s="144">
        <f>G119/E119</f>
        <v>0.963</v>
      </c>
      <c r="J119" s="172">
        <f aca="true" t="shared" si="18" ref="J119:J125">G119-D119</f>
        <v>-8785</v>
      </c>
      <c r="K119" s="173">
        <f aca="true" t="shared" si="19" ref="K119:K125">G119/D119</f>
        <v>0.963</v>
      </c>
      <c r="L119" s="181">
        <f t="shared" si="16"/>
        <v>15302.1</v>
      </c>
    </row>
    <row r="120" spans="1:12" s="29" customFormat="1" ht="13.5" customHeight="1">
      <c r="A120" s="71"/>
      <c r="B120" s="72" t="s">
        <v>91</v>
      </c>
      <c r="C120" s="85">
        <v>99861.7</v>
      </c>
      <c r="D120" s="85">
        <v>107464.6</v>
      </c>
      <c r="E120" s="85">
        <v>107464.6</v>
      </c>
      <c r="F120" s="85">
        <v>93465.6</v>
      </c>
      <c r="G120" s="85">
        <v>105324.8</v>
      </c>
      <c r="H120" s="136">
        <f t="shared" si="17"/>
        <v>0.079</v>
      </c>
      <c r="I120" s="144">
        <f>G120/E120</f>
        <v>0.98</v>
      </c>
      <c r="J120" s="172">
        <f t="shared" si="18"/>
        <v>-2139.8</v>
      </c>
      <c r="K120" s="173">
        <f t="shared" si="19"/>
        <v>0.98</v>
      </c>
      <c r="L120" s="181">
        <f t="shared" si="16"/>
        <v>11859.2</v>
      </c>
    </row>
    <row r="121" spans="1:12" s="29" customFormat="1" ht="13.5" customHeight="1">
      <c r="A121" s="71"/>
      <c r="B121" s="72" t="s">
        <v>144</v>
      </c>
      <c r="C121" s="85">
        <v>305</v>
      </c>
      <c r="D121" s="85">
        <v>210.3</v>
      </c>
      <c r="E121" s="85">
        <v>210.3</v>
      </c>
      <c r="F121" s="85">
        <v>229.5</v>
      </c>
      <c r="G121" s="85">
        <v>166.3</v>
      </c>
      <c r="H121" s="136">
        <f t="shared" si="17"/>
        <v>0</v>
      </c>
      <c r="I121" s="144"/>
      <c r="J121" s="172">
        <f t="shared" si="18"/>
        <v>-44</v>
      </c>
      <c r="K121" s="173">
        <f t="shared" si="19"/>
        <v>0.791</v>
      </c>
      <c r="L121" s="181">
        <f t="shared" si="16"/>
        <v>-63.2</v>
      </c>
    </row>
    <row r="122" spans="1:12" s="29" customFormat="1" ht="13.5" customHeight="1">
      <c r="A122" s="71"/>
      <c r="B122" s="72" t="s">
        <v>94</v>
      </c>
      <c r="C122" s="85">
        <v>7311.6</v>
      </c>
      <c r="D122" s="85">
        <v>6899.6</v>
      </c>
      <c r="E122" s="85">
        <v>6899.6</v>
      </c>
      <c r="F122" s="85">
        <v>4652</v>
      </c>
      <c r="G122" s="85">
        <v>5421.3</v>
      </c>
      <c r="H122" s="136">
        <f t="shared" si="17"/>
        <v>0.004</v>
      </c>
      <c r="I122" s="144">
        <f>G122/E122</f>
        <v>0.786</v>
      </c>
      <c r="J122" s="172">
        <f t="shared" si="18"/>
        <v>-1478.3</v>
      </c>
      <c r="K122" s="173">
        <f t="shared" si="19"/>
        <v>0.786</v>
      </c>
      <c r="L122" s="181">
        <f t="shared" si="16"/>
        <v>769.3</v>
      </c>
    </row>
    <row r="123" spans="1:12" s="29" customFormat="1" ht="13.5" customHeight="1">
      <c r="A123" s="71"/>
      <c r="B123" s="72" t="s">
        <v>142</v>
      </c>
      <c r="C123" s="85">
        <v>1456.9</v>
      </c>
      <c r="D123" s="85">
        <v>1506.8</v>
      </c>
      <c r="E123" s="85">
        <v>1506.8</v>
      </c>
      <c r="F123" s="85">
        <v>792.4</v>
      </c>
      <c r="G123" s="85">
        <v>1384.1</v>
      </c>
      <c r="H123" s="136">
        <f t="shared" si="17"/>
        <v>0.001</v>
      </c>
      <c r="I123" s="144">
        <v>0</v>
      </c>
      <c r="J123" s="172">
        <f t="shared" si="18"/>
        <v>-122.7</v>
      </c>
      <c r="K123" s="173">
        <f t="shared" si="19"/>
        <v>0.919</v>
      </c>
      <c r="L123" s="181">
        <f t="shared" si="16"/>
        <v>591.7</v>
      </c>
    </row>
    <row r="124" spans="1:12" s="29" customFormat="1" ht="13.5" customHeight="1">
      <c r="A124" s="71"/>
      <c r="B124" s="72" t="s">
        <v>143</v>
      </c>
      <c r="C124" s="85">
        <v>73444.3</v>
      </c>
      <c r="D124" s="85">
        <v>119192.5</v>
      </c>
      <c r="E124" s="85">
        <v>119192.6</v>
      </c>
      <c r="F124" s="85">
        <v>112047.2</v>
      </c>
      <c r="G124" s="85">
        <v>114192.3</v>
      </c>
      <c r="H124" s="136">
        <f t="shared" si="17"/>
        <v>0.085</v>
      </c>
      <c r="I124" s="144">
        <f>G124/E124</f>
        <v>0.958</v>
      </c>
      <c r="J124" s="172">
        <f t="shared" si="18"/>
        <v>-5000.2</v>
      </c>
      <c r="K124" s="173">
        <f t="shared" si="19"/>
        <v>0.958</v>
      </c>
      <c r="L124" s="181">
        <f t="shared" si="16"/>
        <v>2145.1</v>
      </c>
    </row>
    <row r="125" spans="1:12" s="1" customFormat="1" ht="27">
      <c r="A125" s="101" t="s">
        <v>258</v>
      </c>
      <c r="B125" s="7" t="s">
        <v>204</v>
      </c>
      <c r="C125" s="5">
        <v>562320.3</v>
      </c>
      <c r="D125" s="5">
        <v>578937</v>
      </c>
      <c r="E125" s="5">
        <v>245386.9</v>
      </c>
      <c r="F125" s="5">
        <v>685122.5</v>
      </c>
      <c r="G125" s="5">
        <v>532945.5</v>
      </c>
      <c r="H125" s="135">
        <f t="shared" si="17"/>
        <v>0.397</v>
      </c>
      <c r="I125" s="144">
        <f>G125/E125</f>
        <v>2.172</v>
      </c>
      <c r="J125" s="172">
        <f t="shared" si="18"/>
        <v>-45991.5</v>
      </c>
      <c r="K125" s="173">
        <f t="shared" si="19"/>
        <v>0.921</v>
      </c>
      <c r="L125" s="181">
        <f t="shared" si="16"/>
        <v>-152177</v>
      </c>
    </row>
    <row r="126" spans="1:12" s="1" customFormat="1" ht="15" customHeight="1" hidden="1">
      <c r="A126" s="101"/>
      <c r="B126" s="7" t="s">
        <v>159</v>
      </c>
      <c r="C126" s="5"/>
      <c r="D126" s="5"/>
      <c r="E126" s="5"/>
      <c r="F126" s="5"/>
      <c r="G126" s="5"/>
      <c r="H126" s="135"/>
      <c r="I126" s="144">
        <v>0</v>
      </c>
      <c r="J126" s="172"/>
      <c r="K126" s="173"/>
      <c r="L126" s="181">
        <f t="shared" si="16"/>
        <v>0</v>
      </c>
    </row>
    <row r="127" spans="1:12" s="1" customFormat="1" ht="40.5" customHeight="1" hidden="1">
      <c r="A127" s="101" t="s">
        <v>202</v>
      </c>
      <c r="B127" s="159" t="s">
        <v>203</v>
      </c>
      <c r="C127" s="5">
        <v>0</v>
      </c>
      <c r="D127" s="120">
        <v>372480</v>
      </c>
      <c r="E127" s="5">
        <v>54256</v>
      </c>
      <c r="F127" s="5">
        <v>54256</v>
      </c>
      <c r="G127" s="5">
        <v>54256</v>
      </c>
      <c r="H127" s="135">
        <f>G127/$G$243</f>
        <v>0.04</v>
      </c>
      <c r="I127" s="144">
        <f>G127/E127</f>
        <v>1</v>
      </c>
      <c r="J127" s="172">
        <f>G127-D127</f>
        <v>-318224</v>
      </c>
      <c r="K127" s="173">
        <f>G127/D127</f>
        <v>0.146</v>
      </c>
      <c r="L127" s="181">
        <f t="shared" si="16"/>
        <v>0</v>
      </c>
    </row>
    <row r="128" spans="1:12" s="1" customFormat="1" ht="13.5">
      <c r="A128" s="3" t="s">
        <v>126</v>
      </c>
      <c r="B128" s="7" t="s">
        <v>117</v>
      </c>
      <c r="C128" s="5">
        <f>C130+C132</f>
        <v>6902.1</v>
      </c>
      <c r="D128" s="5">
        <f>D130+D132</f>
        <v>3890.8</v>
      </c>
      <c r="E128" s="5">
        <f>E130+E132</f>
        <v>2279.6</v>
      </c>
      <c r="F128" s="5">
        <f>F130+F132</f>
        <v>3507.2</v>
      </c>
      <c r="G128" s="5">
        <f>G130+G132</f>
        <v>3817.3</v>
      </c>
      <c r="H128" s="135">
        <f>G128/$G$243</f>
        <v>0.003</v>
      </c>
      <c r="I128" s="144">
        <f>G128/E128</f>
        <v>1.675</v>
      </c>
      <c r="J128" s="172">
        <f>G128-D128</f>
        <v>-73.5</v>
      </c>
      <c r="K128" s="173">
        <f>G128/D128</f>
        <v>0.981</v>
      </c>
      <c r="L128" s="181">
        <f t="shared" si="16"/>
        <v>310.1</v>
      </c>
    </row>
    <row r="129" spans="1:12" s="1" customFormat="1" ht="13.5">
      <c r="A129" s="3"/>
      <c r="B129" s="6" t="s">
        <v>25</v>
      </c>
      <c r="C129" s="5"/>
      <c r="D129" s="5"/>
      <c r="E129" s="5"/>
      <c r="F129" s="5"/>
      <c r="G129" s="5"/>
      <c r="H129" s="135"/>
      <c r="I129" s="144">
        <v>0</v>
      </c>
      <c r="J129" s="172"/>
      <c r="K129" s="173"/>
      <c r="L129" s="181"/>
    </row>
    <row r="130" spans="1:12" s="29" customFormat="1" ht="40.5">
      <c r="A130" s="12" t="s">
        <v>180</v>
      </c>
      <c r="B130" s="26" t="s">
        <v>127</v>
      </c>
      <c r="C130" s="126">
        <v>2902.1</v>
      </c>
      <c r="D130" s="126">
        <v>2950.8</v>
      </c>
      <c r="E130" s="126">
        <v>1370</v>
      </c>
      <c r="F130" s="126">
        <v>2487.3</v>
      </c>
      <c r="G130" s="126">
        <v>2895.8</v>
      </c>
      <c r="H130" s="149">
        <f>G130/$G$243</f>
        <v>0.002</v>
      </c>
      <c r="I130" s="144">
        <f>G130/E130</f>
        <v>2.114</v>
      </c>
      <c r="J130" s="178">
        <f>G130-D130</f>
        <v>-55</v>
      </c>
      <c r="K130" s="182">
        <f>G130/D130</f>
        <v>0.981</v>
      </c>
      <c r="L130" s="181">
        <f t="shared" si="16"/>
        <v>408.5</v>
      </c>
    </row>
    <row r="131" spans="1:12" s="29" customFormat="1" ht="54" customHeight="1" hidden="1">
      <c r="A131" s="12"/>
      <c r="B131" s="26" t="s">
        <v>127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49">
        <f>G131/$G$243</f>
        <v>0</v>
      </c>
      <c r="I131" s="144" t="e">
        <f>G131/E131</f>
        <v>#DIV/0!</v>
      </c>
      <c r="J131" s="178">
        <f>G131-D131</f>
        <v>0</v>
      </c>
      <c r="K131" s="182" t="e">
        <f>G131/D131</f>
        <v>#DIV/0!</v>
      </c>
      <c r="L131" s="181">
        <f t="shared" si="16"/>
        <v>0</v>
      </c>
    </row>
    <row r="132" spans="1:12" s="29" customFormat="1" ht="23.25" customHeight="1">
      <c r="A132" s="12" t="s">
        <v>198</v>
      </c>
      <c r="B132" s="26" t="s">
        <v>161</v>
      </c>
      <c r="C132" s="126">
        <v>4000</v>
      </c>
      <c r="D132" s="126">
        <v>940</v>
      </c>
      <c r="E132" s="126">
        <v>909.6</v>
      </c>
      <c r="F132" s="126">
        <v>1019.9</v>
      </c>
      <c r="G132" s="126">
        <v>921.5</v>
      </c>
      <c r="H132" s="149">
        <f>G132/$G$243</f>
        <v>0.001</v>
      </c>
      <c r="I132" s="144">
        <f>G132/E132</f>
        <v>1.013</v>
      </c>
      <c r="J132" s="178">
        <f>G132-D132</f>
        <v>-18.5</v>
      </c>
      <c r="K132" s="182">
        <f>G132/D132</f>
        <v>0.98</v>
      </c>
      <c r="L132" s="181">
        <f t="shared" si="16"/>
        <v>-98.4</v>
      </c>
    </row>
    <row r="133" spans="1:12" s="1" customFormat="1" ht="13.5">
      <c r="A133" s="3"/>
      <c r="B133" s="200" t="s">
        <v>114</v>
      </c>
      <c r="C133" s="5"/>
      <c r="D133" s="5"/>
      <c r="E133" s="5"/>
      <c r="F133" s="5"/>
      <c r="G133" s="5"/>
      <c r="H133" s="149"/>
      <c r="I133" s="144"/>
      <c r="J133" s="178"/>
      <c r="K133" s="182"/>
      <c r="L133" s="181"/>
    </row>
    <row r="134" spans="1:12" s="1" customFormat="1" ht="13.5">
      <c r="A134" s="3"/>
      <c r="B134" s="14" t="s">
        <v>91</v>
      </c>
      <c r="C134" s="5">
        <v>99861.7</v>
      </c>
      <c r="D134" s="5">
        <v>107464.6</v>
      </c>
      <c r="E134" s="5"/>
      <c r="F134" s="5">
        <v>93465.6</v>
      </c>
      <c r="G134" s="5">
        <v>105324.8</v>
      </c>
      <c r="H134" s="149">
        <f>G134/$G$243</f>
        <v>0.079</v>
      </c>
      <c r="I134" s="144"/>
      <c r="J134" s="178">
        <f>G134-D134</f>
        <v>-2139.8</v>
      </c>
      <c r="K134" s="182">
        <f>G134/D134</f>
        <v>0.98</v>
      </c>
      <c r="L134" s="181">
        <f t="shared" si="16"/>
        <v>11859.2</v>
      </c>
    </row>
    <row r="135" spans="1:12" s="1" customFormat="1" ht="13.5">
      <c r="A135" s="3"/>
      <c r="B135" s="14" t="s">
        <v>128</v>
      </c>
      <c r="C135" s="5">
        <v>817569.4</v>
      </c>
      <c r="D135" s="5">
        <v>913046.4</v>
      </c>
      <c r="E135" s="5">
        <v>428552</v>
      </c>
      <c r="F135" s="5">
        <v>938092.3</v>
      </c>
      <c r="G135" s="5">
        <v>843847.1</v>
      </c>
      <c r="H135" s="135">
        <f>G135/$G$243</f>
        <v>0.629</v>
      </c>
      <c r="I135" s="144">
        <f>G135/E135</f>
        <v>1.969</v>
      </c>
      <c r="J135" s="172">
        <f>G135-D135</f>
        <v>-69199.3</v>
      </c>
      <c r="K135" s="173">
        <f>G135/D135</f>
        <v>0.924</v>
      </c>
      <c r="L135" s="181">
        <f>G135-F135</f>
        <v>-94245.2</v>
      </c>
    </row>
    <row r="136" spans="1:12" s="20" customFormat="1" ht="13.5">
      <c r="A136" s="60" t="s">
        <v>21</v>
      </c>
      <c r="B136" s="65" t="s">
        <v>8</v>
      </c>
      <c r="C136" s="63">
        <f>C137+C156+C174+C152</f>
        <v>162791.2</v>
      </c>
      <c r="D136" s="63">
        <f>D137+D156+D174+D152</f>
        <v>188155.3</v>
      </c>
      <c r="E136" s="63">
        <f>E137+E156+E174+E152</f>
        <v>152635.3</v>
      </c>
      <c r="F136" s="63">
        <f>F137+F156+F174+F152</f>
        <v>219872.4</v>
      </c>
      <c r="G136" s="63">
        <f>G137+G156+G174+G152</f>
        <v>168962.7</v>
      </c>
      <c r="H136" s="62">
        <f>G136/$G$243</f>
        <v>0.126</v>
      </c>
      <c r="I136" s="144">
        <f>G136/E136</f>
        <v>1.107</v>
      </c>
      <c r="J136" s="145">
        <f>G136-D136</f>
        <v>-19192.6</v>
      </c>
      <c r="K136" s="144">
        <f>G136/D136</f>
        <v>0.898</v>
      </c>
      <c r="L136" s="146">
        <f>G136-F136</f>
        <v>-50909.7</v>
      </c>
    </row>
    <row r="137" spans="1:12" ht="13.5">
      <c r="A137" s="12" t="s">
        <v>53</v>
      </c>
      <c r="B137" s="25" t="s">
        <v>65</v>
      </c>
      <c r="C137" s="126">
        <f>C139+C142+C141+C143+C144+C150+C151</f>
        <v>10596.9</v>
      </c>
      <c r="D137" s="126">
        <f>D139+D142+D141+D143+D144+D150+D151</f>
        <v>15535.4</v>
      </c>
      <c r="E137" s="126">
        <f>E139+E142+E141+E143+E144+E150+E151</f>
        <v>6809.9</v>
      </c>
      <c r="F137" s="126">
        <f>F139+F142+F141+F143+F144+F150+F151</f>
        <v>9056.1</v>
      </c>
      <c r="G137" s="126">
        <f>G139+G142+G141+G143+G144+G150+G151</f>
        <v>11147.4</v>
      </c>
      <c r="H137" s="135">
        <f>G137/$G$243</f>
        <v>0.008</v>
      </c>
      <c r="I137" s="144">
        <f>G137/E137</f>
        <v>1.637</v>
      </c>
      <c r="J137" s="172">
        <f>G137-D137</f>
        <v>-4388</v>
      </c>
      <c r="K137" s="173">
        <f>G137/D137</f>
        <v>0.718</v>
      </c>
      <c r="L137" s="181">
        <f>G137-F137</f>
        <v>2091.3</v>
      </c>
    </row>
    <row r="138" spans="1:12" ht="13.5">
      <c r="A138" s="12"/>
      <c r="B138" s="25" t="s">
        <v>159</v>
      </c>
      <c r="C138" s="127"/>
      <c r="D138" s="127"/>
      <c r="E138" s="127"/>
      <c r="F138" s="127"/>
      <c r="G138" s="127"/>
      <c r="H138" s="142"/>
      <c r="I138" s="144"/>
      <c r="J138" s="172"/>
      <c r="K138" s="173"/>
      <c r="L138" s="181"/>
    </row>
    <row r="139" spans="1:12" ht="40.5">
      <c r="A139" s="156" t="s">
        <v>220</v>
      </c>
      <c r="B139" s="26" t="s">
        <v>66</v>
      </c>
      <c r="C139" s="126">
        <v>672.2</v>
      </c>
      <c r="D139" s="126">
        <v>3915.8</v>
      </c>
      <c r="E139" s="126">
        <v>224.4</v>
      </c>
      <c r="F139" s="126">
        <v>0</v>
      </c>
      <c r="G139" s="126">
        <v>3250.7</v>
      </c>
      <c r="H139" s="135">
        <f aca="true" t="shared" si="20" ref="H139:H144">G139/$G$243</f>
        <v>0.002</v>
      </c>
      <c r="I139" s="144">
        <f>G139/E139</f>
        <v>14.486</v>
      </c>
      <c r="J139" s="172">
        <f aca="true" t="shared" si="21" ref="J139:J144">G139-D139</f>
        <v>-665.1</v>
      </c>
      <c r="K139" s="173">
        <f>G139/D139</f>
        <v>0.83</v>
      </c>
      <c r="L139" s="181">
        <f aca="true" t="shared" si="22" ref="L139:L166">G139-F139</f>
        <v>3250.7</v>
      </c>
    </row>
    <row r="140" spans="1:12" ht="27" customHeight="1" hidden="1">
      <c r="A140" s="12" t="s">
        <v>181</v>
      </c>
      <c r="B140" s="26" t="s">
        <v>166</v>
      </c>
      <c r="C140" s="126">
        <v>0</v>
      </c>
      <c r="D140" s="121">
        <v>0</v>
      </c>
      <c r="E140" s="126">
        <v>0</v>
      </c>
      <c r="F140" s="121">
        <v>0</v>
      </c>
      <c r="G140" s="121">
        <v>0</v>
      </c>
      <c r="H140" s="135">
        <f t="shared" si="20"/>
        <v>0</v>
      </c>
      <c r="I140" s="144" t="e">
        <f>G140/E140</f>
        <v>#DIV/0!</v>
      </c>
      <c r="J140" s="172">
        <f t="shared" si="21"/>
        <v>0</v>
      </c>
      <c r="K140" s="173" t="e">
        <f>G140/D140</f>
        <v>#DIV/0!</v>
      </c>
      <c r="L140" s="181">
        <f t="shared" si="22"/>
        <v>0</v>
      </c>
    </row>
    <row r="141" spans="1:12" ht="40.5">
      <c r="A141" s="12" t="s">
        <v>173</v>
      </c>
      <c r="B141" s="218" t="s">
        <v>174</v>
      </c>
      <c r="C141" s="132">
        <v>0</v>
      </c>
      <c r="D141" s="126">
        <v>1826</v>
      </c>
      <c r="E141" s="126">
        <v>2399.5</v>
      </c>
      <c r="F141" s="126">
        <v>0</v>
      </c>
      <c r="G141" s="126">
        <v>1826</v>
      </c>
      <c r="H141" s="135">
        <f t="shared" si="20"/>
        <v>0.001</v>
      </c>
      <c r="I141" s="144">
        <f>G141/E141</f>
        <v>0.761</v>
      </c>
      <c r="J141" s="172">
        <f t="shared" si="21"/>
        <v>0</v>
      </c>
      <c r="K141" s="173">
        <f>G141/D141</f>
        <v>1</v>
      </c>
      <c r="L141" s="181">
        <f t="shared" si="22"/>
        <v>1826</v>
      </c>
    </row>
    <row r="142" spans="1:12" ht="27" customHeight="1" hidden="1">
      <c r="A142" s="156" t="s">
        <v>182</v>
      </c>
      <c r="B142" s="26" t="s">
        <v>259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35">
        <f t="shared" si="20"/>
        <v>0</v>
      </c>
      <c r="I142" s="144">
        <v>0</v>
      </c>
      <c r="J142" s="172">
        <f t="shared" si="21"/>
        <v>0</v>
      </c>
      <c r="K142" s="173">
        <v>0</v>
      </c>
      <c r="L142" s="181">
        <f t="shared" si="22"/>
        <v>0</v>
      </c>
    </row>
    <row r="143" spans="1:12" ht="40.5">
      <c r="A143" s="156" t="s">
        <v>205</v>
      </c>
      <c r="B143" s="26" t="s">
        <v>148</v>
      </c>
      <c r="C143" s="126">
        <v>8274.7</v>
      </c>
      <c r="D143" s="126">
        <v>8274.7</v>
      </c>
      <c r="E143" s="126">
        <v>3947.5</v>
      </c>
      <c r="F143" s="126">
        <v>7742.5</v>
      </c>
      <c r="G143" s="126">
        <v>4843.8</v>
      </c>
      <c r="H143" s="135">
        <f t="shared" si="20"/>
        <v>0.004</v>
      </c>
      <c r="I143" s="144">
        <f>G143/E143</f>
        <v>1.227</v>
      </c>
      <c r="J143" s="172">
        <f t="shared" si="21"/>
        <v>-3430.9</v>
      </c>
      <c r="K143" s="173">
        <f>G143/D143</f>
        <v>0.585</v>
      </c>
      <c r="L143" s="181">
        <f t="shared" si="22"/>
        <v>-2898.7</v>
      </c>
    </row>
    <row r="144" spans="1:12" ht="27">
      <c r="A144" s="156" t="s">
        <v>263</v>
      </c>
      <c r="B144" s="26" t="s">
        <v>206</v>
      </c>
      <c r="C144" s="126">
        <v>1150</v>
      </c>
      <c r="D144" s="126">
        <f>1518.9-551.7</f>
        <v>967.2</v>
      </c>
      <c r="E144" s="126">
        <f>132.6+105.9</f>
        <v>238.5</v>
      </c>
      <c r="F144" s="126">
        <v>1313.6</v>
      </c>
      <c r="G144" s="126">
        <f>1226.9-551.7</f>
        <v>675.2</v>
      </c>
      <c r="H144" s="135">
        <f t="shared" si="20"/>
        <v>0.001</v>
      </c>
      <c r="I144" s="144">
        <f>G144/E144</f>
        <v>2.831</v>
      </c>
      <c r="J144" s="172">
        <f t="shared" si="21"/>
        <v>-292</v>
      </c>
      <c r="K144" s="173">
        <f>G144/D144</f>
        <v>0.698</v>
      </c>
      <c r="L144" s="181">
        <f t="shared" si="22"/>
        <v>-638.4</v>
      </c>
    </row>
    <row r="145" spans="1:12" ht="13.5">
      <c r="A145" s="12"/>
      <c r="B145" s="113" t="s">
        <v>159</v>
      </c>
      <c r="C145" s="126"/>
      <c r="D145" s="126"/>
      <c r="E145" s="126"/>
      <c r="F145" s="126"/>
      <c r="G145" s="126"/>
      <c r="H145" s="142"/>
      <c r="I145" s="144"/>
      <c r="J145" s="172"/>
      <c r="K145" s="173"/>
      <c r="L145" s="181"/>
    </row>
    <row r="146" spans="1:12" ht="27">
      <c r="A146" s="12"/>
      <c r="B146" s="26" t="s">
        <v>225</v>
      </c>
      <c r="C146" s="126">
        <f>SUM(C147:C149)</f>
        <v>0</v>
      </c>
      <c r="D146" s="126">
        <f>SUM(D147:D149)</f>
        <v>0</v>
      </c>
      <c r="E146" s="126">
        <f>SUM(E147:E149)</f>
        <v>132.6</v>
      </c>
      <c r="F146" s="126">
        <f>SUM(F147:F149)</f>
        <v>143.1</v>
      </c>
      <c r="G146" s="126">
        <v>0</v>
      </c>
      <c r="H146" s="135">
        <f aca="true" t="shared" si="23" ref="H146:H152">G146/$G$243</f>
        <v>0</v>
      </c>
      <c r="I146" s="144">
        <f>G146/E146</f>
        <v>0</v>
      </c>
      <c r="J146" s="172">
        <f aca="true" t="shared" si="24" ref="J146:J156">G146-D146</f>
        <v>0</v>
      </c>
      <c r="K146" s="173">
        <v>0</v>
      </c>
      <c r="L146" s="181">
        <f t="shared" si="22"/>
        <v>-143.1</v>
      </c>
    </row>
    <row r="147" spans="1:12" ht="13.5" customHeight="1" hidden="1">
      <c r="A147" s="77"/>
      <c r="B147" s="206" t="s">
        <v>91</v>
      </c>
      <c r="C147" s="85">
        <v>0</v>
      </c>
      <c r="D147" s="85">
        <v>0</v>
      </c>
      <c r="E147" s="85"/>
      <c r="F147" s="85">
        <v>0</v>
      </c>
      <c r="G147" s="85">
        <v>0</v>
      </c>
      <c r="H147" s="136">
        <f t="shared" si="23"/>
        <v>0</v>
      </c>
      <c r="I147" s="144"/>
      <c r="J147" s="172">
        <f t="shared" si="24"/>
        <v>0</v>
      </c>
      <c r="K147" s="173">
        <v>0</v>
      </c>
      <c r="L147" s="181">
        <f t="shared" si="22"/>
        <v>0</v>
      </c>
    </row>
    <row r="148" spans="1:12" ht="13.5">
      <c r="A148" s="71"/>
      <c r="B148" s="72" t="s">
        <v>228</v>
      </c>
      <c r="C148" s="85">
        <v>0</v>
      </c>
      <c r="D148" s="85">
        <v>0</v>
      </c>
      <c r="E148" s="85">
        <v>120.7</v>
      </c>
      <c r="F148" s="85">
        <v>143.1</v>
      </c>
      <c r="G148" s="85">
        <v>0</v>
      </c>
      <c r="H148" s="136">
        <f t="shared" si="23"/>
        <v>0</v>
      </c>
      <c r="I148" s="144">
        <f>G148/E148</f>
        <v>0</v>
      </c>
      <c r="J148" s="172">
        <f t="shared" si="24"/>
        <v>0</v>
      </c>
      <c r="K148" s="173">
        <v>0</v>
      </c>
      <c r="L148" s="181">
        <f t="shared" si="22"/>
        <v>-143.1</v>
      </c>
    </row>
    <row r="149" spans="1:12" ht="13.5" customHeight="1" hidden="1">
      <c r="A149" s="71"/>
      <c r="B149" s="72" t="s">
        <v>229</v>
      </c>
      <c r="C149" s="85">
        <v>0</v>
      </c>
      <c r="D149" s="85">
        <v>0</v>
      </c>
      <c r="E149" s="85">
        <v>11.9</v>
      </c>
      <c r="F149" s="85">
        <v>0</v>
      </c>
      <c r="G149" s="85">
        <v>0</v>
      </c>
      <c r="H149" s="136">
        <f t="shared" si="23"/>
        <v>0</v>
      </c>
      <c r="I149" s="144">
        <f>G149/E149</f>
        <v>0</v>
      </c>
      <c r="J149" s="172">
        <f t="shared" si="24"/>
        <v>0</v>
      </c>
      <c r="K149" s="173">
        <v>0</v>
      </c>
      <c r="L149" s="181">
        <f t="shared" si="22"/>
        <v>0</v>
      </c>
    </row>
    <row r="150" spans="1:12" ht="34.5" customHeight="1">
      <c r="A150" s="156" t="s">
        <v>183</v>
      </c>
      <c r="B150" s="26" t="s">
        <v>236</v>
      </c>
      <c r="C150" s="126">
        <v>500</v>
      </c>
      <c r="D150" s="126">
        <v>0</v>
      </c>
      <c r="E150" s="126">
        <v>0</v>
      </c>
      <c r="F150" s="126">
        <v>0</v>
      </c>
      <c r="G150" s="126">
        <v>0</v>
      </c>
      <c r="H150" s="142">
        <f t="shared" si="23"/>
        <v>0</v>
      </c>
      <c r="I150" s="144">
        <v>0</v>
      </c>
      <c r="J150" s="172">
        <f t="shared" si="24"/>
        <v>0</v>
      </c>
      <c r="K150" s="173">
        <v>0</v>
      </c>
      <c r="L150" s="181">
        <f t="shared" si="22"/>
        <v>0</v>
      </c>
    </row>
    <row r="151" spans="1:12" ht="13.5" customHeight="1">
      <c r="A151" s="12"/>
      <c r="B151" s="26" t="s">
        <v>165</v>
      </c>
      <c r="C151" s="126">
        <v>0</v>
      </c>
      <c r="D151" s="126">
        <v>551.7</v>
      </c>
      <c r="E151" s="126">
        <v>0</v>
      </c>
      <c r="F151" s="126">
        <v>0</v>
      </c>
      <c r="G151" s="126">
        <v>551.7</v>
      </c>
      <c r="H151" s="142">
        <f t="shared" si="23"/>
        <v>0</v>
      </c>
      <c r="I151" s="144" t="e">
        <f>G151/E151</f>
        <v>#DIV/0!</v>
      </c>
      <c r="J151" s="172">
        <f t="shared" si="24"/>
        <v>0</v>
      </c>
      <c r="K151" s="173">
        <f aca="true" t="shared" si="25" ref="K151:K156">G151/D151</f>
        <v>1</v>
      </c>
      <c r="L151" s="181">
        <f t="shared" si="22"/>
        <v>551.7</v>
      </c>
    </row>
    <row r="152" spans="1:12" ht="13.5" customHeight="1">
      <c r="A152" s="12" t="s">
        <v>129</v>
      </c>
      <c r="B152" s="8" t="s">
        <v>130</v>
      </c>
      <c r="C152" s="125">
        <f>C154+C155</f>
        <v>0</v>
      </c>
      <c r="D152" s="125">
        <f>D154+D155</f>
        <v>572.9</v>
      </c>
      <c r="E152" s="125">
        <f>E154+E155</f>
        <v>0</v>
      </c>
      <c r="F152" s="125">
        <f>F154+F155</f>
        <v>0</v>
      </c>
      <c r="G152" s="125">
        <f>G154+G155</f>
        <v>572.9</v>
      </c>
      <c r="H152" s="142">
        <f t="shared" si="23"/>
        <v>0</v>
      </c>
      <c r="I152" s="221" t="e">
        <f>G152/E152</f>
        <v>#DIV/0!</v>
      </c>
      <c r="J152" s="172">
        <f t="shared" si="24"/>
        <v>0</v>
      </c>
      <c r="K152" s="173">
        <f t="shared" si="25"/>
        <v>1</v>
      </c>
      <c r="L152" s="181">
        <f t="shared" si="22"/>
        <v>572.9</v>
      </c>
    </row>
    <row r="153" spans="1:12" ht="13.5" customHeight="1">
      <c r="A153" s="12"/>
      <c r="B153" s="8" t="s">
        <v>25</v>
      </c>
      <c r="C153" s="8"/>
      <c r="D153" s="125"/>
      <c r="E153" s="125"/>
      <c r="F153" s="5"/>
      <c r="G153" s="5"/>
      <c r="H153" s="142"/>
      <c r="I153" s="144" t="e">
        <f>G153/E153</f>
        <v>#DIV/0!</v>
      </c>
      <c r="J153" s="172"/>
      <c r="K153" s="173"/>
      <c r="L153" s="181"/>
    </row>
    <row r="154" spans="1:12" ht="13.5" customHeight="1">
      <c r="A154" s="12"/>
      <c r="B154" s="7" t="s">
        <v>292</v>
      </c>
      <c r="C154" s="125">
        <v>0</v>
      </c>
      <c r="D154" s="125">
        <v>99</v>
      </c>
      <c r="E154" s="125"/>
      <c r="F154" s="5">
        <v>0</v>
      </c>
      <c r="G154" s="5">
        <v>99</v>
      </c>
      <c r="H154" s="142">
        <f>G154/$G$243</f>
        <v>0</v>
      </c>
      <c r="I154" s="144" t="e">
        <f>G154/E154</f>
        <v>#DIV/0!</v>
      </c>
      <c r="J154" s="172">
        <f t="shared" si="24"/>
        <v>0</v>
      </c>
      <c r="K154" s="173">
        <f t="shared" si="25"/>
        <v>1</v>
      </c>
      <c r="L154" s="181">
        <f t="shared" si="22"/>
        <v>99</v>
      </c>
    </row>
    <row r="155" spans="1:12" ht="13.5" customHeight="1">
      <c r="A155" s="12"/>
      <c r="B155" s="7" t="s">
        <v>293</v>
      </c>
      <c r="C155" s="125">
        <v>0</v>
      </c>
      <c r="D155" s="125">
        <v>473.9</v>
      </c>
      <c r="E155" s="125"/>
      <c r="F155" s="5">
        <v>0</v>
      </c>
      <c r="G155" s="5">
        <v>473.9</v>
      </c>
      <c r="H155" s="142">
        <f>G155/$G$243</f>
        <v>0</v>
      </c>
      <c r="I155" s="144"/>
      <c r="J155" s="172">
        <f t="shared" si="24"/>
        <v>0</v>
      </c>
      <c r="K155" s="173">
        <f t="shared" si="25"/>
        <v>1</v>
      </c>
      <c r="L155" s="181">
        <f t="shared" si="22"/>
        <v>473.9</v>
      </c>
    </row>
    <row r="156" spans="1:12" ht="13.5">
      <c r="A156" s="12" t="s">
        <v>40</v>
      </c>
      <c r="B156" s="8" t="s">
        <v>41</v>
      </c>
      <c r="C156" s="125">
        <f>C158+C159+C160+C161+C163+C171+C172+C173+C162</f>
        <v>150204.3</v>
      </c>
      <c r="D156" s="125">
        <f>D158+D159+D160+D161+D163+D171+D172+D173+D162</f>
        <v>168489</v>
      </c>
      <c r="E156" s="125">
        <f>E158+E159+E160+E161+E163+E171+E172+E173+E162</f>
        <v>145067.6</v>
      </c>
      <c r="F156" s="125">
        <f>F158+F159+F160+F161+F163+F171+F172+F173+F162</f>
        <v>209921</v>
      </c>
      <c r="G156" s="125">
        <f>G158+G159+G160+G161+G163+G171+G172+G173+G162</f>
        <v>153698.8</v>
      </c>
      <c r="H156" s="142">
        <f>G156/$G$243</f>
        <v>0.115</v>
      </c>
      <c r="I156" s="144">
        <f>G156/E156</f>
        <v>1.059</v>
      </c>
      <c r="J156" s="172">
        <f t="shared" si="24"/>
        <v>-14790.2</v>
      </c>
      <c r="K156" s="173">
        <f t="shared" si="25"/>
        <v>0.912</v>
      </c>
      <c r="L156" s="181">
        <f t="shared" si="22"/>
        <v>-56222.2</v>
      </c>
    </row>
    <row r="157" spans="1:12" ht="13.5">
      <c r="A157" s="12"/>
      <c r="B157" s="8" t="s">
        <v>25</v>
      </c>
      <c r="C157" s="8"/>
      <c r="D157" s="125"/>
      <c r="E157" s="5"/>
      <c r="F157" s="5"/>
      <c r="G157" s="5"/>
      <c r="H157" s="142"/>
      <c r="I157" s="144"/>
      <c r="J157" s="172"/>
      <c r="K157" s="173"/>
      <c r="L157" s="181"/>
    </row>
    <row r="158" spans="1:12" ht="27">
      <c r="A158" s="12" t="s">
        <v>199</v>
      </c>
      <c r="B158" s="26" t="s">
        <v>200</v>
      </c>
      <c r="C158" s="126">
        <v>1000</v>
      </c>
      <c r="D158" s="126">
        <f>1445.1-500</f>
        <v>945.1</v>
      </c>
      <c r="E158" s="126">
        <v>0</v>
      </c>
      <c r="F158" s="126">
        <v>0</v>
      </c>
      <c r="G158" s="126">
        <v>945.1</v>
      </c>
      <c r="H158" s="142">
        <f aca="true" t="shared" si="26" ref="H158:H163">G158/$G$243</f>
        <v>0.001</v>
      </c>
      <c r="I158" s="144">
        <v>0</v>
      </c>
      <c r="J158" s="172">
        <f aca="true" t="shared" si="27" ref="J158:J163">G158-D158</f>
        <v>0</v>
      </c>
      <c r="K158" s="173">
        <f aca="true" t="shared" si="28" ref="K158:K163">G158/D158</f>
        <v>1</v>
      </c>
      <c r="L158" s="181">
        <f>G158-F158</f>
        <v>945.1</v>
      </c>
    </row>
    <row r="159" spans="1:12" ht="67.5">
      <c r="A159" s="156" t="s">
        <v>234</v>
      </c>
      <c r="B159" s="8" t="s">
        <v>224</v>
      </c>
      <c r="C159" s="125">
        <v>41220.1</v>
      </c>
      <c r="D159" s="125">
        <v>43483</v>
      </c>
      <c r="E159" s="5">
        <v>68256.9</v>
      </c>
      <c r="F159" s="5">
        <v>99788.7</v>
      </c>
      <c r="G159" s="5">
        <v>43483</v>
      </c>
      <c r="H159" s="135">
        <f t="shared" si="26"/>
        <v>0.032</v>
      </c>
      <c r="I159" s="144">
        <v>0</v>
      </c>
      <c r="J159" s="172">
        <f t="shared" si="27"/>
        <v>0</v>
      </c>
      <c r="K159" s="173">
        <f t="shared" si="28"/>
        <v>1</v>
      </c>
      <c r="L159" s="181">
        <f t="shared" si="22"/>
        <v>-56305.7</v>
      </c>
    </row>
    <row r="160" spans="1:12" ht="13.5">
      <c r="A160" s="12" t="s">
        <v>169</v>
      </c>
      <c r="B160" s="7" t="s">
        <v>88</v>
      </c>
      <c r="C160" s="125">
        <v>83234.8</v>
      </c>
      <c r="D160" s="125">
        <v>78294.9</v>
      </c>
      <c r="E160" s="5">
        <v>53311.7</v>
      </c>
      <c r="F160" s="5">
        <v>80124.8</v>
      </c>
      <c r="G160" s="5">
        <v>77025.8</v>
      </c>
      <c r="H160" s="135">
        <f t="shared" si="26"/>
        <v>0.057</v>
      </c>
      <c r="I160" s="144">
        <f>G160/E160</f>
        <v>1.445</v>
      </c>
      <c r="J160" s="172">
        <f t="shared" si="27"/>
        <v>-1269.1</v>
      </c>
      <c r="K160" s="173">
        <f t="shared" si="28"/>
        <v>0.984</v>
      </c>
      <c r="L160" s="181">
        <f t="shared" si="22"/>
        <v>-3099</v>
      </c>
    </row>
    <row r="161" spans="1:12" ht="27">
      <c r="A161" s="156" t="s">
        <v>184</v>
      </c>
      <c r="B161" s="7" t="s">
        <v>235</v>
      </c>
      <c r="C161" s="125">
        <v>5000</v>
      </c>
      <c r="D161" s="125">
        <v>9119.6</v>
      </c>
      <c r="E161" s="5">
        <v>2391.5</v>
      </c>
      <c r="F161" s="5">
        <v>7912.2</v>
      </c>
      <c r="G161" s="5">
        <v>5000</v>
      </c>
      <c r="H161" s="135">
        <f t="shared" si="26"/>
        <v>0.004</v>
      </c>
      <c r="I161" s="144">
        <f>G161/E161</f>
        <v>2.091</v>
      </c>
      <c r="J161" s="172">
        <f t="shared" si="27"/>
        <v>-4119.6</v>
      </c>
      <c r="K161" s="173">
        <f t="shared" si="28"/>
        <v>0.548</v>
      </c>
      <c r="L161" s="181">
        <f t="shared" si="22"/>
        <v>-2912.2</v>
      </c>
    </row>
    <row r="162" spans="1:12" ht="27">
      <c r="A162" s="156"/>
      <c r="B162" s="7" t="s">
        <v>298</v>
      </c>
      <c r="C162" s="125">
        <v>0</v>
      </c>
      <c r="D162" s="125">
        <v>6155</v>
      </c>
      <c r="E162" s="5"/>
      <c r="F162" s="5">
        <v>0</v>
      </c>
      <c r="G162" s="5">
        <v>6155</v>
      </c>
      <c r="H162" s="135">
        <f t="shared" si="26"/>
        <v>0.005</v>
      </c>
      <c r="I162" s="144"/>
      <c r="J162" s="172">
        <f t="shared" si="27"/>
        <v>0</v>
      </c>
      <c r="K162" s="173">
        <f t="shared" si="28"/>
        <v>1</v>
      </c>
      <c r="L162" s="181">
        <f t="shared" si="22"/>
        <v>6155</v>
      </c>
    </row>
    <row r="163" spans="1:12" ht="27">
      <c r="A163" s="156" t="s">
        <v>260</v>
      </c>
      <c r="B163" s="7" t="s">
        <v>201</v>
      </c>
      <c r="C163" s="125">
        <v>19749.4</v>
      </c>
      <c r="D163" s="125">
        <f>200+21802.6-500</f>
        <v>21502.6</v>
      </c>
      <c r="E163" s="5">
        <v>20307.5</v>
      </c>
      <c r="F163" s="5">
        <f>20558.5-141.5-0.1+500</f>
        <v>20916.9</v>
      </c>
      <c r="G163" s="5">
        <f>19852.9+200+500</f>
        <v>20552.9</v>
      </c>
      <c r="H163" s="142">
        <f t="shared" si="26"/>
        <v>0.015</v>
      </c>
      <c r="I163" s="144">
        <f>G163/E163</f>
        <v>1.012</v>
      </c>
      <c r="J163" s="172">
        <f t="shared" si="27"/>
        <v>-949.7</v>
      </c>
      <c r="K163" s="173">
        <f t="shared" si="28"/>
        <v>0.956</v>
      </c>
      <c r="L163" s="181">
        <f t="shared" si="22"/>
        <v>-364</v>
      </c>
    </row>
    <row r="164" spans="1:12" ht="12.75" customHeight="1">
      <c r="A164" s="12"/>
      <c r="B164" s="7" t="s">
        <v>25</v>
      </c>
      <c r="C164" s="125"/>
      <c r="D164" s="125"/>
      <c r="E164" s="5"/>
      <c r="F164" s="5"/>
      <c r="G164" s="5"/>
      <c r="H164" s="142"/>
      <c r="I164" s="144"/>
      <c r="J164" s="172"/>
      <c r="K164" s="173"/>
      <c r="L164" s="181"/>
    </row>
    <row r="165" spans="1:12" ht="27">
      <c r="A165" s="12"/>
      <c r="B165" s="110" t="s">
        <v>225</v>
      </c>
      <c r="C165" s="125">
        <f>SUM(C166:C170)</f>
        <v>17357.3</v>
      </c>
      <c r="D165" s="125">
        <f>SUM(D166:D170)</f>
        <v>18802.7</v>
      </c>
      <c r="E165" s="125">
        <f>SUM(E166:E170)</f>
        <v>7516.3</v>
      </c>
      <c r="F165" s="125">
        <f>SUM(F166:F170)</f>
        <v>15981.4</v>
      </c>
      <c r="G165" s="125">
        <f>SUM(G166:G170)</f>
        <v>18042</v>
      </c>
      <c r="H165" s="142">
        <f aca="true" t="shared" si="29" ref="H165:H177">G165/$G$243</f>
        <v>0.013</v>
      </c>
      <c r="I165" s="144">
        <f>G165/E165</f>
        <v>2.4</v>
      </c>
      <c r="J165" s="172">
        <f aca="true" t="shared" si="30" ref="J165:J177">G165-D165</f>
        <v>-760.7</v>
      </c>
      <c r="K165" s="173">
        <f>G165/D165</f>
        <v>0.96</v>
      </c>
      <c r="L165" s="181">
        <f t="shared" si="22"/>
        <v>2060.6</v>
      </c>
    </row>
    <row r="166" spans="1:12" ht="13.5">
      <c r="A166" s="77"/>
      <c r="B166" s="207" t="s">
        <v>230</v>
      </c>
      <c r="C166" s="83">
        <v>11456.4</v>
      </c>
      <c r="D166" s="83">
        <v>10156.4</v>
      </c>
      <c r="E166" s="83"/>
      <c r="F166" s="83">
        <v>7423.2</v>
      </c>
      <c r="G166" s="83">
        <v>9568.9</v>
      </c>
      <c r="H166" s="136">
        <f t="shared" si="29"/>
        <v>0.007</v>
      </c>
      <c r="I166" s="173"/>
      <c r="J166" s="172">
        <f t="shared" si="30"/>
        <v>-587.5</v>
      </c>
      <c r="K166" s="173">
        <f>G166/D166</f>
        <v>0.942</v>
      </c>
      <c r="L166" s="181">
        <f t="shared" si="22"/>
        <v>2145.7</v>
      </c>
    </row>
    <row r="167" spans="1:12" ht="13.5">
      <c r="A167" s="71"/>
      <c r="B167" s="72" t="s">
        <v>228</v>
      </c>
      <c r="C167" s="83">
        <v>735.8</v>
      </c>
      <c r="D167" s="83">
        <v>607.8</v>
      </c>
      <c r="E167" s="83">
        <v>3012.6</v>
      </c>
      <c r="F167" s="83">
        <v>461.4</v>
      </c>
      <c r="G167" s="83">
        <v>462.4</v>
      </c>
      <c r="H167" s="136">
        <f t="shared" si="29"/>
        <v>0</v>
      </c>
      <c r="I167" s="173">
        <f>G167/E167</f>
        <v>0.153</v>
      </c>
      <c r="J167" s="172">
        <f t="shared" si="30"/>
        <v>-145.4</v>
      </c>
      <c r="K167" s="173">
        <f>G167/D167</f>
        <v>0.761</v>
      </c>
      <c r="L167" s="181">
        <f>G167-F167</f>
        <v>1</v>
      </c>
    </row>
    <row r="168" spans="1:12" ht="13.5" customHeight="1">
      <c r="A168" s="71"/>
      <c r="B168" s="72" t="s">
        <v>142</v>
      </c>
      <c r="C168" s="83">
        <v>0</v>
      </c>
      <c r="D168" s="83">
        <v>0</v>
      </c>
      <c r="E168" s="83">
        <v>163.3</v>
      </c>
      <c r="F168" s="83">
        <v>79</v>
      </c>
      <c r="G168" s="83">
        <v>0</v>
      </c>
      <c r="H168" s="136">
        <f t="shared" si="29"/>
        <v>0</v>
      </c>
      <c r="I168" s="173">
        <f>G168/E168</f>
        <v>0</v>
      </c>
      <c r="J168" s="172">
        <f t="shared" si="30"/>
        <v>0</v>
      </c>
      <c r="K168" s="173">
        <v>0</v>
      </c>
      <c r="L168" s="181">
        <f aca="true" t="shared" si="31" ref="L168:L173">G168-F168</f>
        <v>-79</v>
      </c>
    </row>
    <row r="169" spans="1:12" ht="13.5" customHeight="1" hidden="1">
      <c r="A169" s="71"/>
      <c r="B169" s="157" t="s">
        <v>145</v>
      </c>
      <c r="C169" s="119">
        <v>0</v>
      </c>
      <c r="D169" s="83">
        <v>0</v>
      </c>
      <c r="E169" s="119">
        <v>0</v>
      </c>
      <c r="F169" s="83">
        <v>0</v>
      </c>
      <c r="G169" s="83">
        <v>0</v>
      </c>
      <c r="H169" s="136">
        <f t="shared" si="29"/>
        <v>0</v>
      </c>
      <c r="I169" s="173">
        <v>0</v>
      </c>
      <c r="J169" s="172">
        <f t="shared" si="30"/>
        <v>0</v>
      </c>
      <c r="K169" s="173">
        <v>0</v>
      </c>
      <c r="L169" s="181">
        <f t="shared" si="31"/>
        <v>0</v>
      </c>
    </row>
    <row r="170" spans="1:12" ht="13.5">
      <c r="A170" s="71"/>
      <c r="B170" s="72" t="s">
        <v>143</v>
      </c>
      <c r="C170" s="83">
        <v>5165.1</v>
      </c>
      <c r="D170" s="83">
        <v>8038.5</v>
      </c>
      <c r="E170" s="83">
        <v>4340.4</v>
      </c>
      <c r="F170" s="83">
        <f>7517.8+500</f>
        <v>8017.8</v>
      </c>
      <c r="G170" s="83">
        <v>8010.7</v>
      </c>
      <c r="H170" s="136">
        <f t="shared" si="29"/>
        <v>0.006</v>
      </c>
      <c r="I170" s="173">
        <f>G170/E170</f>
        <v>1.846</v>
      </c>
      <c r="J170" s="172">
        <f t="shared" si="30"/>
        <v>-27.8</v>
      </c>
      <c r="K170" s="173">
        <f aca="true" t="shared" si="32" ref="K170:K177">G170/D170</f>
        <v>0.997</v>
      </c>
      <c r="L170" s="181">
        <f t="shared" si="31"/>
        <v>-7.1</v>
      </c>
    </row>
    <row r="171" spans="1:12" ht="27">
      <c r="A171" s="12" t="s">
        <v>223</v>
      </c>
      <c r="B171" s="7" t="s">
        <v>222</v>
      </c>
      <c r="C171" s="125">
        <v>0</v>
      </c>
      <c r="D171" s="125">
        <v>8451.8</v>
      </c>
      <c r="E171" s="5">
        <v>800</v>
      </c>
      <c r="F171" s="5">
        <v>67.8</v>
      </c>
      <c r="G171" s="5">
        <v>0</v>
      </c>
      <c r="H171" s="142">
        <f t="shared" si="29"/>
        <v>0</v>
      </c>
      <c r="I171" s="173">
        <f>G171/E171</f>
        <v>0</v>
      </c>
      <c r="J171" s="172">
        <f t="shared" si="30"/>
        <v>-8451.8</v>
      </c>
      <c r="K171" s="173">
        <f t="shared" si="32"/>
        <v>0</v>
      </c>
      <c r="L171" s="181">
        <f t="shared" si="31"/>
        <v>-67.8</v>
      </c>
    </row>
    <row r="172" spans="1:12" ht="54" customHeight="1">
      <c r="A172" s="12" t="s">
        <v>221</v>
      </c>
      <c r="B172" s="7" t="s">
        <v>278</v>
      </c>
      <c r="C172" s="125">
        <v>0</v>
      </c>
      <c r="D172" s="125">
        <v>500</v>
      </c>
      <c r="E172" s="5">
        <v>0</v>
      </c>
      <c r="F172" s="5">
        <v>969.1</v>
      </c>
      <c r="G172" s="5">
        <v>500</v>
      </c>
      <c r="H172" s="142">
        <f t="shared" si="29"/>
        <v>0</v>
      </c>
      <c r="I172" s="173">
        <v>0</v>
      </c>
      <c r="J172" s="172">
        <f t="shared" si="30"/>
        <v>0</v>
      </c>
      <c r="K172" s="173">
        <f t="shared" si="32"/>
        <v>1</v>
      </c>
      <c r="L172" s="181">
        <f t="shared" si="31"/>
        <v>-469.1</v>
      </c>
    </row>
    <row r="173" spans="1:12" ht="13.5" customHeight="1">
      <c r="A173" s="12"/>
      <c r="B173" s="7" t="s">
        <v>165</v>
      </c>
      <c r="C173" s="125">
        <v>0</v>
      </c>
      <c r="D173" s="125">
        <v>37</v>
      </c>
      <c r="E173" s="5"/>
      <c r="F173" s="5">
        <v>141.5</v>
      </c>
      <c r="G173" s="5">
        <v>37</v>
      </c>
      <c r="H173" s="142">
        <f t="shared" si="29"/>
        <v>0</v>
      </c>
      <c r="I173" s="173"/>
      <c r="J173" s="172">
        <f t="shared" si="30"/>
        <v>0</v>
      </c>
      <c r="K173" s="173">
        <f t="shared" si="32"/>
        <v>1</v>
      </c>
      <c r="L173" s="181">
        <f t="shared" si="31"/>
        <v>-104.5</v>
      </c>
    </row>
    <row r="174" spans="1:12" s="1" customFormat="1" ht="27">
      <c r="A174" s="12" t="s">
        <v>54</v>
      </c>
      <c r="B174" s="7" t="s">
        <v>55</v>
      </c>
      <c r="C174" s="125">
        <f>C176+C175</f>
        <v>1990</v>
      </c>
      <c r="D174" s="125">
        <f>D176+D175</f>
        <v>3558</v>
      </c>
      <c r="E174" s="125">
        <f>E176+E175</f>
        <v>757.8</v>
      </c>
      <c r="F174" s="125">
        <f>F176+F175</f>
        <v>895.3</v>
      </c>
      <c r="G174" s="125">
        <f>G176+G175</f>
        <v>3543.6</v>
      </c>
      <c r="H174" s="135">
        <f t="shared" si="29"/>
        <v>0.003</v>
      </c>
      <c r="I174" s="144">
        <f>G174/E174</f>
        <v>4.676</v>
      </c>
      <c r="J174" s="172">
        <f t="shared" si="30"/>
        <v>-14.4</v>
      </c>
      <c r="K174" s="173">
        <f t="shared" si="32"/>
        <v>0.996</v>
      </c>
      <c r="L174" s="181">
        <f>G174-F174</f>
        <v>2648.3</v>
      </c>
    </row>
    <row r="175" spans="1:12" s="1" customFormat="1" ht="13.5">
      <c r="A175" s="12"/>
      <c r="B175" s="7" t="s">
        <v>280</v>
      </c>
      <c r="C175" s="125">
        <v>0</v>
      </c>
      <c r="D175" s="125">
        <v>2744.6</v>
      </c>
      <c r="E175" s="125"/>
      <c r="F175" s="125">
        <v>93</v>
      </c>
      <c r="G175" s="125">
        <v>2744.6</v>
      </c>
      <c r="H175" s="135">
        <f t="shared" si="29"/>
        <v>0.002</v>
      </c>
      <c r="I175" s="144"/>
      <c r="J175" s="172">
        <f t="shared" si="30"/>
        <v>0</v>
      </c>
      <c r="K175" s="173">
        <f t="shared" si="32"/>
        <v>1</v>
      </c>
      <c r="L175" s="181">
        <f>G175-F175</f>
        <v>2651.6</v>
      </c>
    </row>
    <row r="176" spans="1:12" s="1" customFormat="1" ht="17.25" customHeight="1">
      <c r="A176" s="12"/>
      <c r="B176" s="7" t="s">
        <v>149</v>
      </c>
      <c r="C176" s="125">
        <v>1990</v>
      </c>
      <c r="D176" s="125">
        <v>813.4</v>
      </c>
      <c r="E176" s="5">
        <v>757.8</v>
      </c>
      <c r="F176" s="5">
        <v>802.3</v>
      </c>
      <c r="G176" s="5">
        <v>799</v>
      </c>
      <c r="H176" s="135">
        <f t="shared" si="29"/>
        <v>0.001</v>
      </c>
      <c r="I176" s="144">
        <f>G176/E176</f>
        <v>1.054</v>
      </c>
      <c r="J176" s="172">
        <f t="shared" si="30"/>
        <v>-14.4</v>
      </c>
      <c r="K176" s="173">
        <f t="shared" si="32"/>
        <v>0.982</v>
      </c>
      <c r="L176" s="181">
        <f>G176-F176</f>
        <v>-3.3</v>
      </c>
    </row>
    <row r="177" spans="1:12" s="1" customFormat="1" ht="13.5" customHeight="1" hidden="1">
      <c r="A177" s="12"/>
      <c r="B177" s="7" t="s">
        <v>150</v>
      </c>
      <c r="C177" s="74">
        <v>0</v>
      </c>
      <c r="D177" s="125">
        <v>0</v>
      </c>
      <c r="E177" s="5">
        <v>0</v>
      </c>
      <c r="F177" s="5">
        <v>0</v>
      </c>
      <c r="G177" s="5">
        <v>0</v>
      </c>
      <c r="H177" s="135">
        <f t="shared" si="29"/>
        <v>0</v>
      </c>
      <c r="I177" s="144" t="e">
        <f>G177/E177</f>
        <v>#DIV/0!</v>
      </c>
      <c r="J177" s="172">
        <f t="shared" si="30"/>
        <v>0</v>
      </c>
      <c r="K177" s="173" t="e">
        <f t="shared" si="32"/>
        <v>#DIV/0!</v>
      </c>
      <c r="L177" s="181" t="e">
        <f>G177-#REF!</f>
        <v>#REF!</v>
      </c>
    </row>
    <row r="178" spans="1:12" ht="13.5">
      <c r="A178" s="12"/>
      <c r="B178" s="6" t="s">
        <v>115</v>
      </c>
      <c r="C178" s="6"/>
      <c r="D178" s="5"/>
      <c r="E178" s="5"/>
      <c r="F178" s="5"/>
      <c r="G178" s="5"/>
      <c r="H178" s="142"/>
      <c r="I178" s="144"/>
      <c r="J178" s="172"/>
      <c r="K178" s="173"/>
      <c r="L178" s="181"/>
    </row>
    <row r="179" spans="1:12" ht="13.5">
      <c r="A179" s="12"/>
      <c r="B179" s="7" t="s">
        <v>91</v>
      </c>
      <c r="C179" s="5">
        <v>11456.4</v>
      </c>
      <c r="D179" s="5">
        <v>10156.4</v>
      </c>
      <c r="E179" s="5">
        <v>3133.2</v>
      </c>
      <c r="F179" s="5">
        <v>7423.2</v>
      </c>
      <c r="G179" s="5">
        <v>9568.9</v>
      </c>
      <c r="H179" s="142">
        <f aca="true" t="shared" si="33" ref="H179:H185">G179/$G$243</f>
        <v>0.007</v>
      </c>
      <c r="I179" s="144">
        <f aca="true" t="shared" si="34" ref="I179:I185">G179/E179</f>
        <v>3.054</v>
      </c>
      <c r="J179" s="172">
        <f aca="true" t="shared" si="35" ref="J179:J185">G179-D179</f>
        <v>-587.5</v>
      </c>
      <c r="K179" s="173">
        <f aca="true" t="shared" si="36" ref="K179:K185">G179/D179</f>
        <v>0.942</v>
      </c>
      <c r="L179" s="181">
        <f>G179-F179</f>
        <v>2145.7</v>
      </c>
    </row>
    <row r="180" spans="1:12" s="97" customFormat="1" ht="13.5" customHeight="1" hidden="1">
      <c r="A180" s="201"/>
      <c r="B180" s="202" t="s">
        <v>123</v>
      </c>
      <c r="C180" s="139"/>
      <c r="D180" s="139"/>
      <c r="E180" s="139">
        <v>0</v>
      </c>
      <c r="F180" s="139">
        <v>0</v>
      </c>
      <c r="G180" s="139">
        <v>0</v>
      </c>
      <c r="H180" s="203">
        <f t="shared" si="33"/>
        <v>0</v>
      </c>
      <c r="I180" s="144" t="e">
        <f t="shared" si="34"/>
        <v>#DIV/0!</v>
      </c>
      <c r="J180" s="184">
        <f t="shared" si="35"/>
        <v>0</v>
      </c>
      <c r="K180" s="173" t="e">
        <f t="shared" si="36"/>
        <v>#DIV/0!</v>
      </c>
      <c r="L180" s="181">
        <f>G180-F180</f>
        <v>0</v>
      </c>
    </row>
    <row r="181" spans="1:12" ht="13.5">
      <c r="A181" s="12"/>
      <c r="B181" s="14" t="s">
        <v>128</v>
      </c>
      <c r="C181" s="125">
        <v>162791.2</v>
      </c>
      <c r="D181" s="125">
        <v>185167.6</v>
      </c>
      <c r="E181" s="125">
        <v>150235.8</v>
      </c>
      <c r="F181" s="125">
        <v>219482.3</v>
      </c>
      <c r="G181" s="125">
        <v>165975</v>
      </c>
      <c r="H181" s="142">
        <f t="shared" si="33"/>
        <v>0.124</v>
      </c>
      <c r="I181" s="144">
        <f t="shared" si="34"/>
        <v>1.105</v>
      </c>
      <c r="J181" s="172">
        <f t="shared" si="35"/>
        <v>-19192.6</v>
      </c>
      <c r="K181" s="173">
        <f t="shared" si="36"/>
        <v>0.896</v>
      </c>
      <c r="L181" s="181">
        <f>G181-F181</f>
        <v>-53507.3</v>
      </c>
    </row>
    <row r="182" spans="1:12" s="20" customFormat="1" ht="13.5">
      <c r="A182" s="60" t="s">
        <v>102</v>
      </c>
      <c r="B182" s="66" t="s">
        <v>101</v>
      </c>
      <c r="C182" s="61">
        <f>C183+C199</f>
        <v>15907.3</v>
      </c>
      <c r="D182" s="61">
        <f>D183+D199</f>
        <v>13314.4</v>
      </c>
      <c r="E182" s="61">
        <f>E183+E199</f>
        <v>9131.3</v>
      </c>
      <c r="F182" s="61">
        <f>F183+F199</f>
        <v>13169.6</v>
      </c>
      <c r="G182" s="61">
        <f>G183+G199</f>
        <v>13314.4</v>
      </c>
      <c r="H182" s="62">
        <f t="shared" si="33"/>
        <v>0.01</v>
      </c>
      <c r="I182" s="144">
        <f t="shared" si="34"/>
        <v>1.458</v>
      </c>
      <c r="J182" s="145">
        <f t="shared" si="35"/>
        <v>0</v>
      </c>
      <c r="K182" s="144">
        <f t="shared" si="36"/>
        <v>1</v>
      </c>
      <c r="L182" s="146">
        <f>G182-F182</f>
        <v>144.8</v>
      </c>
    </row>
    <row r="183" spans="1:12" s="29" customFormat="1" ht="13.5">
      <c r="A183" s="75" t="s">
        <v>42</v>
      </c>
      <c r="B183" s="76" t="s">
        <v>50</v>
      </c>
      <c r="C183" s="138">
        <f>C184+C185</f>
        <v>15134.3</v>
      </c>
      <c r="D183" s="138">
        <f>D184+D185</f>
        <v>12541.4</v>
      </c>
      <c r="E183" s="138">
        <f>E184+E185</f>
        <v>9131.3</v>
      </c>
      <c r="F183" s="138">
        <f>F184+F185</f>
        <v>12585.4</v>
      </c>
      <c r="G183" s="138">
        <f>G184+G185</f>
        <v>12541.4</v>
      </c>
      <c r="H183" s="69">
        <f t="shared" si="33"/>
        <v>0.009</v>
      </c>
      <c r="I183" s="144">
        <f t="shared" si="34"/>
        <v>1.373</v>
      </c>
      <c r="J183" s="172">
        <f t="shared" si="35"/>
        <v>0</v>
      </c>
      <c r="K183" s="173">
        <f t="shared" si="36"/>
        <v>1</v>
      </c>
      <c r="L183" s="181">
        <f>G183-F183</f>
        <v>-44</v>
      </c>
    </row>
    <row r="184" spans="1:12" ht="40.5">
      <c r="A184" s="13"/>
      <c r="B184" s="7" t="s">
        <v>89</v>
      </c>
      <c r="C184" s="5">
        <v>13497.9</v>
      </c>
      <c r="D184" s="5">
        <v>10145.2</v>
      </c>
      <c r="E184" s="5">
        <v>7072.1</v>
      </c>
      <c r="F184" s="5">
        <v>11250.5</v>
      </c>
      <c r="G184" s="5">
        <v>10145.2</v>
      </c>
      <c r="H184" s="142">
        <f t="shared" si="33"/>
        <v>0.008</v>
      </c>
      <c r="I184" s="144">
        <f t="shared" si="34"/>
        <v>1.435</v>
      </c>
      <c r="J184" s="172">
        <f t="shared" si="35"/>
        <v>0</v>
      </c>
      <c r="K184" s="173">
        <f t="shared" si="36"/>
        <v>1</v>
      </c>
      <c r="L184" s="181">
        <f>G184-F184</f>
        <v>-1105.3</v>
      </c>
    </row>
    <row r="185" spans="1:12" ht="13.5">
      <c r="A185" s="13"/>
      <c r="B185" s="7" t="s">
        <v>287</v>
      </c>
      <c r="C185" s="5">
        <v>1636.4</v>
      </c>
      <c r="D185" s="5">
        <v>2396.2</v>
      </c>
      <c r="E185" s="5">
        <f>3259.1-1199.9</f>
        <v>2059.2</v>
      </c>
      <c r="F185" s="5">
        <v>1334.9</v>
      </c>
      <c r="G185" s="5">
        <v>2396.2</v>
      </c>
      <c r="H185" s="142">
        <f t="shared" si="33"/>
        <v>0.002</v>
      </c>
      <c r="I185" s="173">
        <f t="shared" si="34"/>
        <v>1.164</v>
      </c>
      <c r="J185" s="172">
        <f t="shared" si="35"/>
        <v>0</v>
      </c>
      <c r="K185" s="173">
        <f t="shared" si="36"/>
        <v>1</v>
      </c>
      <c r="L185" s="181">
        <f>G185-F185</f>
        <v>1061.3</v>
      </c>
    </row>
    <row r="186" spans="1:12" ht="13.5">
      <c r="A186" s="77"/>
      <c r="B186" s="78" t="s">
        <v>25</v>
      </c>
      <c r="C186" s="78"/>
      <c r="D186" s="79"/>
      <c r="E186" s="79"/>
      <c r="F186" s="79"/>
      <c r="G186" s="79"/>
      <c r="H186" s="136"/>
      <c r="I186" s="173"/>
      <c r="J186" s="172"/>
      <c r="K186" s="173"/>
      <c r="L186" s="181"/>
    </row>
    <row r="187" spans="1:12" ht="27">
      <c r="A187" s="71"/>
      <c r="B187" s="217" t="s">
        <v>288</v>
      </c>
      <c r="C187" s="79">
        <v>12653.5</v>
      </c>
      <c r="D187" s="79">
        <v>10172.8</v>
      </c>
      <c r="E187" s="79">
        <v>8514.6</v>
      </c>
      <c r="F187" s="79">
        <v>11311.1</v>
      </c>
      <c r="G187" s="79">
        <v>10172.8</v>
      </c>
      <c r="H187" s="136">
        <f aca="true" t="shared" si="37" ref="H187:H193">G187/$G$243</f>
        <v>0.008</v>
      </c>
      <c r="I187" s="173">
        <f>G187/E187</f>
        <v>1.195</v>
      </c>
      <c r="J187" s="172">
        <f aca="true" t="shared" si="38" ref="J187:J193">G187-D187</f>
        <v>0</v>
      </c>
      <c r="K187" s="173">
        <f aca="true" t="shared" si="39" ref="K187:K195">G187/D187</f>
        <v>1</v>
      </c>
      <c r="L187" s="181">
        <f>G187-F187</f>
        <v>-1138.3</v>
      </c>
    </row>
    <row r="188" spans="1:12" ht="27">
      <c r="A188" s="71"/>
      <c r="B188" s="72" t="s">
        <v>251</v>
      </c>
      <c r="C188" s="79">
        <v>1400</v>
      </c>
      <c r="D188" s="79">
        <v>1399</v>
      </c>
      <c r="E188" s="79"/>
      <c r="F188" s="79">
        <v>0</v>
      </c>
      <c r="G188" s="79">
        <v>1399</v>
      </c>
      <c r="H188" s="136">
        <f t="shared" si="37"/>
        <v>0.001</v>
      </c>
      <c r="I188" s="173"/>
      <c r="J188" s="172">
        <f t="shared" si="38"/>
        <v>0</v>
      </c>
      <c r="K188" s="173">
        <f t="shared" si="39"/>
        <v>1</v>
      </c>
      <c r="L188" s="181">
        <f>G188-F188</f>
        <v>1399</v>
      </c>
    </row>
    <row r="189" spans="1:12" ht="13.5">
      <c r="A189" s="71"/>
      <c r="B189" s="72" t="s">
        <v>144</v>
      </c>
      <c r="C189" s="79">
        <v>53.4</v>
      </c>
      <c r="D189" s="79">
        <v>48.2</v>
      </c>
      <c r="E189" s="79">
        <v>39.1</v>
      </c>
      <c r="F189" s="79">
        <v>48.3</v>
      </c>
      <c r="G189" s="79">
        <v>48.2</v>
      </c>
      <c r="H189" s="136">
        <f t="shared" si="37"/>
        <v>0</v>
      </c>
      <c r="I189" s="173">
        <f>G189/E189</f>
        <v>1.233</v>
      </c>
      <c r="J189" s="172">
        <f t="shared" si="38"/>
        <v>0</v>
      </c>
      <c r="K189" s="173">
        <f t="shared" si="39"/>
        <v>1</v>
      </c>
      <c r="L189" s="181">
        <f>G189-F189</f>
        <v>-0.1</v>
      </c>
    </row>
    <row r="190" spans="1:12" ht="13.5">
      <c r="A190" s="71"/>
      <c r="B190" s="72" t="s">
        <v>94</v>
      </c>
      <c r="C190" s="79">
        <v>655.3</v>
      </c>
      <c r="D190" s="79">
        <v>682.9</v>
      </c>
      <c r="E190" s="79">
        <v>477.9</v>
      </c>
      <c r="F190" s="79">
        <v>723.3</v>
      </c>
      <c r="G190" s="79">
        <v>682.9</v>
      </c>
      <c r="H190" s="136">
        <f t="shared" si="37"/>
        <v>0.001</v>
      </c>
      <c r="I190" s="173">
        <f>G190/E190</f>
        <v>1.429</v>
      </c>
      <c r="J190" s="172">
        <f t="shared" si="38"/>
        <v>0</v>
      </c>
      <c r="K190" s="173">
        <f t="shared" si="39"/>
        <v>1</v>
      </c>
      <c r="L190" s="181">
        <f>G190-F190</f>
        <v>-40.4</v>
      </c>
    </row>
    <row r="191" spans="1:12" ht="13.5">
      <c r="A191" s="71"/>
      <c r="B191" s="72" t="s">
        <v>142</v>
      </c>
      <c r="C191" s="79">
        <v>167.7</v>
      </c>
      <c r="D191" s="79">
        <v>20.2</v>
      </c>
      <c r="E191" s="79">
        <v>16.8</v>
      </c>
      <c r="F191" s="79">
        <v>96.9</v>
      </c>
      <c r="G191" s="79">
        <v>20.2</v>
      </c>
      <c r="H191" s="136">
        <f t="shared" si="37"/>
        <v>0</v>
      </c>
      <c r="I191" s="173">
        <v>0</v>
      </c>
      <c r="J191" s="172">
        <f t="shared" si="38"/>
        <v>0</v>
      </c>
      <c r="K191" s="173">
        <f t="shared" si="39"/>
        <v>1</v>
      </c>
      <c r="L191" s="181">
        <f>G191-F191</f>
        <v>-76.7</v>
      </c>
    </row>
    <row r="192" spans="1:12" ht="13.5">
      <c r="A192" s="71"/>
      <c r="B192" s="72" t="s">
        <v>274</v>
      </c>
      <c r="C192" s="79">
        <v>204.4</v>
      </c>
      <c r="D192" s="79">
        <v>218.3</v>
      </c>
      <c r="E192" s="79">
        <v>82.9</v>
      </c>
      <c r="F192" s="79">
        <v>405.8</v>
      </c>
      <c r="G192" s="79">
        <v>218.3</v>
      </c>
      <c r="H192" s="136">
        <f t="shared" si="37"/>
        <v>0</v>
      </c>
      <c r="I192" s="173">
        <f>G192/E192</f>
        <v>2.633</v>
      </c>
      <c r="J192" s="172">
        <f t="shared" si="38"/>
        <v>0</v>
      </c>
      <c r="K192" s="173">
        <f t="shared" si="39"/>
        <v>1</v>
      </c>
      <c r="L192" s="181">
        <f>G192-F192</f>
        <v>-187.5</v>
      </c>
    </row>
    <row r="193" spans="1:12" ht="13.5" customHeight="1" hidden="1">
      <c r="A193" s="13">
        <v>612</v>
      </c>
      <c r="B193" s="7" t="s">
        <v>90</v>
      </c>
      <c r="C193" s="73"/>
      <c r="D193" s="87"/>
      <c r="E193" s="87"/>
      <c r="F193" s="87"/>
      <c r="G193" s="87"/>
      <c r="H193" s="135">
        <f t="shared" si="37"/>
        <v>0</v>
      </c>
      <c r="I193" s="144" t="e">
        <f>G193/E193</f>
        <v>#DIV/0!</v>
      </c>
      <c r="J193" s="172">
        <f t="shared" si="38"/>
        <v>0</v>
      </c>
      <c r="K193" s="173" t="e">
        <f t="shared" si="39"/>
        <v>#DIV/0!</v>
      </c>
      <c r="L193" s="181" t="e">
        <f>G193-#REF!</f>
        <v>#REF!</v>
      </c>
    </row>
    <row r="194" spans="1:12" ht="13.5" customHeight="1" hidden="1">
      <c r="A194" s="111"/>
      <c r="B194" s="112" t="s">
        <v>25</v>
      </c>
      <c r="C194" s="74"/>
      <c r="D194" s="133"/>
      <c r="E194" s="133"/>
      <c r="F194" s="133"/>
      <c r="G194" s="133"/>
      <c r="H194" s="135"/>
      <c r="I194" s="144" t="e">
        <f>G194/E194</f>
        <v>#DIV/0!</v>
      </c>
      <c r="J194" s="172"/>
      <c r="K194" s="173" t="e">
        <f t="shared" si="39"/>
        <v>#DIV/0!</v>
      </c>
      <c r="L194" s="181"/>
    </row>
    <row r="195" spans="1:12" ht="27" customHeight="1" hidden="1">
      <c r="A195" s="111"/>
      <c r="B195" s="112" t="s">
        <v>146</v>
      </c>
      <c r="C195" s="74"/>
      <c r="D195" s="133"/>
      <c r="E195" s="133"/>
      <c r="F195" s="133"/>
      <c r="G195" s="133"/>
      <c r="H195" s="135">
        <f aca="true" t="shared" si="40" ref="H195:H205">G195/$G$243</f>
        <v>0</v>
      </c>
      <c r="I195" s="144" t="e">
        <f>G195/E195</f>
        <v>#DIV/0!</v>
      </c>
      <c r="J195" s="172">
        <f aca="true" t="shared" si="41" ref="J195:J203">G195-D195</f>
        <v>0</v>
      </c>
      <c r="K195" s="173" t="e">
        <f t="shared" si="39"/>
        <v>#DIV/0!</v>
      </c>
      <c r="L195" s="181" t="e">
        <f>G195-#REF!</f>
        <v>#REF!</v>
      </c>
    </row>
    <row r="196" spans="1:12" ht="13.5" hidden="1">
      <c r="A196" s="12"/>
      <c r="B196" s="211" t="s">
        <v>252</v>
      </c>
      <c r="C196" s="125">
        <v>0</v>
      </c>
      <c r="D196" s="133">
        <v>0</v>
      </c>
      <c r="E196" s="133">
        <v>1199.9</v>
      </c>
      <c r="F196" s="133">
        <v>0</v>
      </c>
      <c r="G196" s="133">
        <v>0</v>
      </c>
      <c r="H196" s="135">
        <f t="shared" si="40"/>
        <v>0</v>
      </c>
      <c r="I196" s="173">
        <f>G196/E196</f>
        <v>0</v>
      </c>
      <c r="J196" s="172">
        <f t="shared" si="41"/>
        <v>0</v>
      </c>
      <c r="K196" s="173">
        <v>0</v>
      </c>
      <c r="L196" s="181">
        <f>G196-F196</f>
        <v>0</v>
      </c>
    </row>
    <row r="197" spans="1:12" ht="13.5">
      <c r="A197" s="12"/>
      <c r="B197" s="210" t="s">
        <v>247</v>
      </c>
      <c r="C197" s="125">
        <v>0</v>
      </c>
      <c r="D197" s="133">
        <v>0</v>
      </c>
      <c r="E197" s="133"/>
      <c r="F197" s="133">
        <v>30</v>
      </c>
      <c r="G197" s="133">
        <v>0</v>
      </c>
      <c r="H197" s="135">
        <f t="shared" si="40"/>
        <v>0</v>
      </c>
      <c r="I197" s="173"/>
      <c r="J197" s="172">
        <f t="shared" si="41"/>
        <v>0</v>
      </c>
      <c r="K197" s="173">
        <v>0</v>
      </c>
      <c r="L197" s="181">
        <f>G197-F197</f>
        <v>-30</v>
      </c>
    </row>
    <row r="198" spans="1:12" ht="13.5">
      <c r="A198" s="12"/>
      <c r="B198" s="211" t="s">
        <v>253</v>
      </c>
      <c r="C198" s="125">
        <v>38.2</v>
      </c>
      <c r="D198" s="133">
        <v>13.7</v>
      </c>
      <c r="E198" s="133"/>
      <c r="F198" s="133">
        <v>25</v>
      </c>
      <c r="G198" s="133">
        <v>13.7</v>
      </c>
      <c r="H198" s="135">
        <f t="shared" si="40"/>
        <v>0</v>
      </c>
      <c r="I198" s="173"/>
      <c r="J198" s="172">
        <f t="shared" si="41"/>
        <v>0</v>
      </c>
      <c r="K198" s="173">
        <f aca="true" t="shared" si="42" ref="K198:K203">G198/D198</f>
        <v>1</v>
      </c>
      <c r="L198" s="181">
        <f>G198-F198</f>
        <v>-11.3</v>
      </c>
    </row>
    <row r="199" spans="1:12" s="20" customFormat="1" ht="13.5">
      <c r="A199" s="60" t="s">
        <v>231</v>
      </c>
      <c r="B199" s="66" t="s">
        <v>232</v>
      </c>
      <c r="C199" s="61">
        <f>C200</f>
        <v>773</v>
      </c>
      <c r="D199" s="61">
        <f>D200</f>
        <v>773</v>
      </c>
      <c r="E199" s="61">
        <f>E200</f>
        <v>0</v>
      </c>
      <c r="F199" s="61">
        <f>F200</f>
        <v>584.2</v>
      </c>
      <c r="G199" s="61">
        <f>G200</f>
        <v>773</v>
      </c>
      <c r="H199" s="62">
        <f t="shared" si="40"/>
        <v>0.001</v>
      </c>
      <c r="I199" s="144"/>
      <c r="J199" s="145">
        <f t="shared" si="41"/>
        <v>0</v>
      </c>
      <c r="K199" s="144">
        <f t="shared" si="42"/>
        <v>1</v>
      </c>
      <c r="L199" s="146">
        <f>G199-F199</f>
        <v>188.8</v>
      </c>
    </row>
    <row r="200" spans="1:12" ht="13.5">
      <c r="A200" s="12"/>
      <c r="B200" s="7" t="s">
        <v>233</v>
      </c>
      <c r="C200" s="125">
        <v>773</v>
      </c>
      <c r="D200" s="125">
        <v>773</v>
      </c>
      <c r="E200" s="125"/>
      <c r="F200" s="125">
        <v>584.2</v>
      </c>
      <c r="G200" s="125">
        <v>773</v>
      </c>
      <c r="H200" s="128">
        <f t="shared" si="40"/>
        <v>0.001</v>
      </c>
      <c r="I200" s="142"/>
      <c r="J200" s="172">
        <f t="shared" si="41"/>
        <v>0</v>
      </c>
      <c r="K200" s="173">
        <f t="shared" si="42"/>
        <v>1</v>
      </c>
      <c r="L200" s="181">
        <f>G200-F200</f>
        <v>188.8</v>
      </c>
    </row>
    <row r="201" spans="1:12" s="20" customFormat="1" ht="13.5">
      <c r="A201" s="60" t="s">
        <v>56</v>
      </c>
      <c r="B201" s="64" t="s">
        <v>92</v>
      </c>
      <c r="C201" s="124">
        <f>C202</f>
        <v>79645.5</v>
      </c>
      <c r="D201" s="124">
        <f>D202</f>
        <v>96078.4</v>
      </c>
      <c r="E201" s="124">
        <f>E202</f>
        <v>50489.5</v>
      </c>
      <c r="F201" s="124">
        <f>F202</f>
        <v>83452.8</v>
      </c>
      <c r="G201" s="124">
        <f>G202</f>
        <v>95550.6</v>
      </c>
      <c r="H201" s="62">
        <f t="shared" si="40"/>
        <v>0.071</v>
      </c>
      <c r="I201" s="144">
        <f>G201/E201</f>
        <v>1.892</v>
      </c>
      <c r="J201" s="145">
        <f t="shared" si="41"/>
        <v>-527.8</v>
      </c>
      <c r="K201" s="144">
        <f t="shared" si="42"/>
        <v>0.995</v>
      </c>
      <c r="L201" s="146">
        <f>G201-F201</f>
        <v>12097.8</v>
      </c>
    </row>
    <row r="202" spans="1:12" s="29" customFormat="1" ht="13.5">
      <c r="A202" s="75" t="s">
        <v>58</v>
      </c>
      <c r="B202" s="76" t="s">
        <v>57</v>
      </c>
      <c r="C202" s="137">
        <f>C203+C205</f>
        <v>79645.5</v>
      </c>
      <c r="D202" s="137">
        <f>D203+D205</f>
        <v>96078.4</v>
      </c>
      <c r="E202" s="137">
        <f>E203+E205</f>
        <v>50489.5</v>
      </c>
      <c r="F202" s="137">
        <f>F203+F205</f>
        <v>83452.8</v>
      </c>
      <c r="G202" s="137">
        <f>G203+G205</f>
        <v>95550.6</v>
      </c>
      <c r="H202" s="69">
        <f t="shared" si="40"/>
        <v>0.071</v>
      </c>
      <c r="I202" s="144">
        <f>G202/E202</f>
        <v>1.892</v>
      </c>
      <c r="J202" s="172">
        <f t="shared" si="41"/>
        <v>-527.8</v>
      </c>
      <c r="K202" s="173">
        <f t="shared" si="42"/>
        <v>0.995</v>
      </c>
      <c r="L202" s="181">
        <f>G202-F202</f>
        <v>12097.8</v>
      </c>
    </row>
    <row r="203" spans="1:12" ht="39" customHeight="1">
      <c r="A203" s="13"/>
      <c r="B203" s="7" t="s">
        <v>89</v>
      </c>
      <c r="C203" s="5">
        <v>53108.2</v>
      </c>
      <c r="D203" s="87">
        <v>51062.9</v>
      </c>
      <c r="E203" s="87">
        <v>29543.5</v>
      </c>
      <c r="F203" s="87">
        <v>43841.8</v>
      </c>
      <c r="G203" s="87">
        <v>51062.9</v>
      </c>
      <c r="H203" s="135">
        <f t="shared" si="40"/>
        <v>0.038</v>
      </c>
      <c r="I203" s="144">
        <f>G203/E203</f>
        <v>1.728</v>
      </c>
      <c r="J203" s="172">
        <f t="shared" si="41"/>
        <v>0</v>
      </c>
      <c r="K203" s="173">
        <f t="shared" si="42"/>
        <v>1</v>
      </c>
      <c r="L203" s="181">
        <f>G203-F203</f>
        <v>7221.1</v>
      </c>
    </row>
    <row r="204" spans="1:12" ht="13.5" customHeight="1" hidden="1">
      <c r="A204" s="13"/>
      <c r="B204" s="8" t="s">
        <v>93</v>
      </c>
      <c r="C204" s="5"/>
      <c r="D204" s="87"/>
      <c r="E204" s="87"/>
      <c r="F204" s="87"/>
      <c r="G204" s="87"/>
      <c r="H204" s="135">
        <f t="shared" si="40"/>
        <v>0</v>
      </c>
      <c r="I204" s="144" t="e">
        <f>G204/E204</f>
        <v>#DIV/0!</v>
      </c>
      <c r="J204" s="172"/>
      <c r="K204" s="173"/>
      <c r="L204" s="181"/>
    </row>
    <row r="205" spans="1:12" ht="13.5" customHeight="1">
      <c r="A205" s="13"/>
      <c r="B205" s="8" t="s">
        <v>90</v>
      </c>
      <c r="C205" s="5">
        <v>26537.3</v>
      </c>
      <c r="D205" s="87">
        <v>45015.5</v>
      </c>
      <c r="E205" s="87">
        <f>20945.9+0.1</f>
        <v>20946</v>
      </c>
      <c r="F205" s="87">
        <v>39611</v>
      </c>
      <c r="G205" s="87">
        <v>44487.7</v>
      </c>
      <c r="H205" s="135">
        <f t="shared" si="40"/>
        <v>0.033</v>
      </c>
      <c r="I205" s="144">
        <f>G205/E205</f>
        <v>2.124</v>
      </c>
      <c r="J205" s="172">
        <f>G205-D205</f>
        <v>-527.8</v>
      </c>
      <c r="K205" s="173">
        <f>G205/D205</f>
        <v>0.988</v>
      </c>
      <c r="L205" s="181">
        <f>G205-F205</f>
        <v>4876.7</v>
      </c>
    </row>
    <row r="206" spans="1:12" ht="13.5">
      <c r="A206" s="77"/>
      <c r="B206" s="78" t="s">
        <v>25</v>
      </c>
      <c r="C206" s="78"/>
      <c r="D206" s="79"/>
      <c r="E206" s="79"/>
      <c r="F206" s="79"/>
      <c r="G206" s="79"/>
      <c r="H206" s="136"/>
      <c r="I206" s="173"/>
      <c r="J206" s="172"/>
      <c r="K206" s="173"/>
      <c r="L206" s="181"/>
    </row>
    <row r="207" spans="1:12" ht="13.5">
      <c r="A207" s="77"/>
      <c r="B207" s="72" t="s">
        <v>91</v>
      </c>
      <c r="C207" s="73">
        <v>67721.9</v>
      </c>
      <c r="D207" s="79">
        <v>74487.7</v>
      </c>
      <c r="E207" s="79">
        <v>44529.5</v>
      </c>
      <c r="F207" s="79">
        <v>64362.6</v>
      </c>
      <c r="G207" s="79">
        <v>73959.9</v>
      </c>
      <c r="H207" s="136">
        <f aca="true" t="shared" si="43" ref="H207:H212">G207/$G$243</f>
        <v>0.055</v>
      </c>
      <c r="I207" s="173">
        <f aca="true" t="shared" si="44" ref="I207:I216">G207/E207</f>
        <v>1.661</v>
      </c>
      <c r="J207" s="172">
        <f aca="true" t="shared" si="45" ref="J207:J212">G207-D207</f>
        <v>-527.8</v>
      </c>
      <c r="K207" s="173">
        <f aca="true" t="shared" si="46" ref="K207:K212">G207/D207</f>
        <v>0.993</v>
      </c>
      <c r="L207" s="181">
        <f>G207-F207</f>
        <v>9597.3</v>
      </c>
    </row>
    <row r="208" spans="1:12" ht="13.5">
      <c r="A208" s="77"/>
      <c r="B208" s="72" t="s">
        <v>145</v>
      </c>
      <c r="C208" s="73">
        <v>338.4</v>
      </c>
      <c r="D208" s="79">
        <v>320.3</v>
      </c>
      <c r="E208" s="79">
        <v>201</v>
      </c>
      <c r="F208" s="79">
        <v>277.2</v>
      </c>
      <c r="G208" s="79">
        <v>320.3</v>
      </c>
      <c r="H208" s="136">
        <f t="shared" si="43"/>
        <v>0</v>
      </c>
      <c r="I208" s="173">
        <f t="shared" si="44"/>
        <v>1.594</v>
      </c>
      <c r="J208" s="172">
        <f t="shared" si="45"/>
        <v>0</v>
      </c>
      <c r="K208" s="173">
        <f t="shared" si="46"/>
        <v>1</v>
      </c>
      <c r="L208" s="181">
        <f>G208-F208</f>
        <v>43.1</v>
      </c>
    </row>
    <row r="209" spans="1:12" ht="13.5">
      <c r="A209" s="71"/>
      <c r="B209" s="72" t="s">
        <v>94</v>
      </c>
      <c r="C209" s="73">
        <v>6527.6</v>
      </c>
      <c r="D209" s="79">
        <v>7382</v>
      </c>
      <c r="E209" s="79">
        <v>4385.9</v>
      </c>
      <c r="F209" s="79">
        <v>4688.3</v>
      </c>
      <c r="G209" s="79">
        <v>7382</v>
      </c>
      <c r="H209" s="136">
        <f t="shared" si="43"/>
        <v>0.006</v>
      </c>
      <c r="I209" s="173">
        <f t="shared" si="44"/>
        <v>1.683</v>
      </c>
      <c r="J209" s="172">
        <f t="shared" si="45"/>
        <v>0</v>
      </c>
      <c r="K209" s="173">
        <f t="shared" si="46"/>
        <v>1</v>
      </c>
      <c r="L209" s="181">
        <f>G209-F209</f>
        <v>2693.7</v>
      </c>
    </row>
    <row r="210" spans="1:12" ht="13.5">
      <c r="A210" s="71"/>
      <c r="B210" s="72" t="s">
        <v>142</v>
      </c>
      <c r="C210" s="73">
        <v>1468</v>
      </c>
      <c r="D210" s="79">
        <v>4.5</v>
      </c>
      <c r="E210" s="79">
        <v>221.4</v>
      </c>
      <c r="F210" s="79">
        <v>1058</v>
      </c>
      <c r="G210" s="79">
        <v>4.5</v>
      </c>
      <c r="H210" s="136">
        <f t="shared" si="43"/>
        <v>0</v>
      </c>
      <c r="I210" s="173">
        <f t="shared" si="44"/>
        <v>0.02</v>
      </c>
      <c r="J210" s="172">
        <f t="shared" si="45"/>
        <v>0</v>
      </c>
      <c r="K210" s="173">
        <f t="shared" si="46"/>
        <v>1</v>
      </c>
      <c r="L210" s="181">
        <f>G210-F210</f>
        <v>-1053.5</v>
      </c>
    </row>
    <row r="211" spans="1:12" ht="13.5">
      <c r="A211" s="71"/>
      <c r="B211" s="72" t="s">
        <v>245</v>
      </c>
      <c r="C211" s="73">
        <v>3589.6</v>
      </c>
      <c r="D211" s="79">
        <v>13883.9</v>
      </c>
      <c r="E211" s="79">
        <f>1151.6+0.1</f>
        <v>1151.7</v>
      </c>
      <c r="F211" s="79">
        <v>13066.7</v>
      </c>
      <c r="G211" s="79">
        <v>13883.9</v>
      </c>
      <c r="H211" s="136">
        <f t="shared" si="43"/>
        <v>0.01</v>
      </c>
      <c r="I211" s="173">
        <f t="shared" si="44"/>
        <v>12.055</v>
      </c>
      <c r="J211" s="172">
        <f t="shared" si="45"/>
        <v>0</v>
      </c>
      <c r="K211" s="173">
        <f t="shared" si="46"/>
        <v>1</v>
      </c>
      <c r="L211" s="181">
        <f>G211-F211</f>
        <v>817.2</v>
      </c>
    </row>
    <row r="212" spans="1:12" ht="13.5" customHeight="1" hidden="1">
      <c r="A212" s="13">
        <v>612</v>
      </c>
      <c r="B212" s="7" t="s">
        <v>90</v>
      </c>
      <c r="C212" s="5"/>
      <c r="D212" s="87"/>
      <c r="E212" s="87"/>
      <c r="F212" s="87"/>
      <c r="G212" s="87"/>
      <c r="H212" s="135">
        <f t="shared" si="43"/>
        <v>0</v>
      </c>
      <c r="I212" s="144" t="e">
        <f t="shared" si="44"/>
        <v>#DIV/0!</v>
      </c>
      <c r="J212" s="172">
        <f t="shared" si="45"/>
        <v>0</v>
      </c>
      <c r="K212" s="173" t="e">
        <f t="shared" si="46"/>
        <v>#DIV/0!</v>
      </c>
      <c r="L212" s="181" t="e">
        <f>G212-#REF!</f>
        <v>#REF!</v>
      </c>
    </row>
    <row r="213" spans="1:12" ht="13.5" customHeight="1" hidden="1">
      <c r="A213" s="111"/>
      <c r="B213" s="110" t="s">
        <v>25</v>
      </c>
      <c r="C213" s="73"/>
      <c r="D213" s="87"/>
      <c r="E213" s="87"/>
      <c r="F213" s="87"/>
      <c r="G213" s="87"/>
      <c r="H213" s="135"/>
      <c r="I213" s="144" t="e">
        <f t="shared" si="44"/>
        <v>#DIV/0!</v>
      </c>
      <c r="J213" s="172"/>
      <c r="K213" s="173"/>
      <c r="L213" s="181"/>
    </row>
    <row r="214" spans="1:12" ht="40.5" customHeight="1" hidden="1">
      <c r="A214" s="111"/>
      <c r="B214" s="110" t="s">
        <v>147</v>
      </c>
      <c r="C214" s="73"/>
      <c r="D214" s="87"/>
      <c r="E214" s="87"/>
      <c r="F214" s="87"/>
      <c r="G214" s="87"/>
      <c r="H214" s="135">
        <f aca="true" t="shared" si="47" ref="H214:H225">G214/$G$243</f>
        <v>0</v>
      </c>
      <c r="I214" s="144" t="e">
        <f t="shared" si="44"/>
        <v>#DIV/0!</v>
      </c>
      <c r="J214" s="172">
        <f aca="true" t="shared" si="48" ref="J214:J225">G214-D214</f>
        <v>0</v>
      </c>
      <c r="K214" s="173" t="e">
        <f aca="true" t="shared" si="49" ref="K214:K221">G214/D214</f>
        <v>#DIV/0!</v>
      </c>
      <c r="L214" s="181" t="e">
        <f>G214-#REF!</f>
        <v>#REF!</v>
      </c>
    </row>
    <row r="215" spans="1:12" ht="40.5">
      <c r="A215" s="12"/>
      <c r="B215" s="210" t="s">
        <v>249</v>
      </c>
      <c r="C215" s="125">
        <v>484</v>
      </c>
      <c r="D215" s="133">
        <v>735.7</v>
      </c>
      <c r="E215" s="133"/>
      <c r="F215" s="133">
        <v>104.9</v>
      </c>
      <c r="G215" s="133">
        <v>735.7</v>
      </c>
      <c r="H215" s="135">
        <f t="shared" si="47"/>
        <v>0.001</v>
      </c>
      <c r="I215" s="173" t="e">
        <f t="shared" si="44"/>
        <v>#DIV/0!</v>
      </c>
      <c r="J215" s="172">
        <f t="shared" si="48"/>
        <v>0</v>
      </c>
      <c r="K215" s="173">
        <f t="shared" si="49"/>
        <v>1</v>
      </c>
      <c r="L215" s="181">
        <f>G215-F215</f>
        <v>630.8</v>
      </c>
    </row>
    <row r="216" spans="1:12" ht="27">
      <c r="A216" s="111"/>
      <c r="B216" s="210" t="s">
        <v>250</v>
      </c>
      <c r="C216" s="133">
        <v>0</v>
      </c>
      <c r="D216" s="133">
        <v>4833.8</v>
      </c>
      <c r="E216" s="133"/>
      <c r="F216" s="133">
        <v>9279.9</v>
      </c>
      <c r="G216" s="133">
        <v>4833.8</v>
      </c>
      <c r="H216" s="135">
        <f t="shared" si="47"/>
        <v>0.004</v>
      </c>
      <c r="I216" s="144" t="e">
        <f t="shared" si="44"/>
        <v>#DIV/0!</v>
      </c>
      <c r="J216" s="172">
        <f t="shared" si="48"/>
        <v>0</v>
      </c>
      <c r="K216" s="173">
        <f t="shared" si="49"/>
        <v>1</v>
      </c>
      <c r="L216" s="181">
        <f>G216-F216</f>
        <v>-4446.1</v>
      </c>
    </row>
    <row r="217" spans="1:12" ht="40.5">
      <c r="A217" s="111"/>
      <c r="B217" s="210" t="s">
        <v>289</v>
      </c>
      <c r="C217" s="133">
        <v>0</v>
      </c>
      <c r="D217" s="133">
        <v>2500</v>
      </c>
      <c r="E217" s="133"/>
      <c r="F217" s="133">
        <v>0</v>
      </c>
      <c r="G217" s="133">
        <v>2500</v>
      </c>
      <c r="H217" s="135">
        <f t="shared" si="47"/>
        <v>0.002</v>
      </c>
      <c r="I217" s="144"/>
      <c r="J217" s="172">
        <f t="shared" si="48"/>
        <v>0</v>
      </c>
      <c r="K217" s="173">
        <f t="shared" si="49"/>
        <v>1</v>
      </c>
      <c r="L217" s="181">
        <f>G217-F217</f>
        <v>2500</v>
      </c>
    </row>
    <row r="218" spans="1:12" ht="40.5">
      <c r="A218" s="111"/>
      <c r="B218" s="210" t="s">
        <v>279</v>
      </c>
      <c r="C218" s="133">
        <v>0</v>
      </c>
      <c r="D218" s="133">
        <v>3479.8</v>
      </c>
      <c r="E218" s="133"/>
      <c r="F218" s="133">
        <v>1133</v>
      </c>
      <c r="G218" s="133">
        <v>3479.8</v>
      </c>
      <c r="H218" s="135">
        <f t="shared" si="47"/>
        <v>0.003</v>
      </c>
      <c r="I218" s="144"/>
      <c r="J218" s="172">
        <f t="shared" si="48"/>
        <v>0</v>
      </c>
      <c r="K218" s="173">
        <f t="shared" si="49"/>
        <v>1</v>
      </c>
      <c r="L218" s="181">
        <f>G218-F218</f>
        <v>2346.8</v>
      </c>
    </row>
    <row r="219" spans="1:12" ht="15.75" customHeight="1">
      <c r="A219" s="12"/>
      <c r="B219" s="210" t="s">
        <v>248</v>
      </c>
      <c r="C219" s="125">
        <v>974</v>
      </c>
      <c r="D219" s="133">
        <v>454.5</v>
      </c>
      <c r="E219" s="133"/>
      <c r="F219" s="133">
        <v>402.2</v>
      </c>
      <c r="G219" s="133">
        <v>454.5</v>
      </c>
      <c r="H219" s="135">
        <f t="shared" si="47"/>
        <v>0</v>
      </c>
      <c r="I219" s="144"/>
      <c r="J219" s="172">
        <f t="shared" si="48"/>
        <v>0</v>
      </c>
      <c r="K219" s="173">
        <f t="shared" si="49"/>
        <v>1</v>
      </c>
      <c r="L219" s="181">
        <f>G219-F219</f>
        <v>52.3</v>
      </c>
    </row>
    <row r="220" spans="1:12" s="20" customFormat="1" ht="13.5">
      <c r="A220" s="60" t="s">
        <v>95</v>
      </c>
      <c r="B220" s="64" t="s">
        <v>96</v>
      </c>
      <c r="C220" s="143">
        <f>C221</f>
        <v>561.3</v>
      </c>
      <c r="D220" s="143">
        <f>D221</f>
        <v>561.3</v>
      </c>
      <c r="E220" s="143">
        <f>E221</f>
        <v>398.1</v>
      </c>
      <c r="F220" s="143">
        <f>F221</f>
        <v>534.5</v>
      </c>
      <c r="G220" s="143">
        <f>G221</f>
        <v>561.3</v>
      </c>
      <c r="H220" s="144">
        <f t="shared" si="47"/>
        <v>0</v>
      </c>
      <c r="I220" s="144">
        <f aca="true" t="shared" si="50" ref="I220:I225">G220/E220</f>
        <v>1.41</v>
      </c>
      <c r="J220" s="145">
        <f t="shared" si="48"/>
        <v>0</v>
      </c>
      <c r="K220" s="144">
        <f t="shared" si="49"/>
        <v>1</v>
      </c>
      <c r="L220" s="146">
        <f aca="true" t="shared" si="51" ref="L220:L225">G220-F220</f>
        <v>26.8</v>
      </c>
    </row>
    <row r="221" spans="1:12" s="29" customFormat="1" ht="13.5">
      <c r="A221" s="12" t="s">
        <v>59</v>
      </c>
      <c r="B221" s="14" t="s">
        <v>60</v>
      </c>
      <c r="C221" s="126">
        <v>561.3</v>
      </c>
      <c r="D221" s="132">
        <v>561.3</v>
      </c>
      <c r="E221" s="132">
        <v>398.1</v>
      </c>
      <c r="F221" s="132">
        <v>534.5</v>
      </c>
      <c r="G221" s="132">
        <v>561.3</v>
      </c>
      <c r="H221" s="142">
        <f t="shared" si="47"/>
        <v>0</v>
      </c>
      <c r="I221" s="144">
        <f t="shared" si="50"/>
        <v>1.41</v>
      </c>
      <c r="J221" s="172">
        <f t="shared" si="48"/>
        <v>0</v>
      </c>
      <c r="K221" s="173">
        <f t="shared" si="49"/>
        <v>1</v>
      </c>
      <c r="L221" s="181">
        <f t="shared" si="51"/>
        <v>26.8</v>
      </c>
    </row>
    <row r="222" spans="1:12" s="20" customFormat="1" ht="13.5">
      <c r="A222" s="60" t="s">
        <v>97</v>
      </c>
      <c r="B222" s="64" t="s">
        <v>47</v>
      </c>
      <c r="C222" s="63">
        <f>C223</f>
        <v>16811.1</v>
      </c>
      <c r="D222" s="63">
        <f>D223</f>
        <v>19419.7</v>
      </c>
      <c r="E222" s="63">
        <f>E223</f>
        <v>9402.5</v>
      </c>
      <c r="F222" s="63">
        <f>F223</f>
        <v>18192.2</v>
      </c>
      <c r="G222" s="63">
        <f>G223</f>
        <v>19419.7</v>
      </c>
      <c r="H222" s="62">
        <f t="shared" si="47"/>
        <v>0.014</v>
      </c>
      <c r="I222" s="144">
        <f t="shared" si="50"/>
        <v>2.065</v>
      </c>
      <c r="J222" s="145">
        <f t="shared" si="48"/>
        <v>0</v>
      </c>
      <c r="K222" s="144">
        <f>G222/D222</f>
        <v>1</v>
      </c>
      <c r="L222" s="146">
        <f t="shared" si="51"/>
        <v>1227.5</v>
      </c>
    </row>
    <row r="223" spans="1:12" s="29" customFormat="1" ht="13.5">
      <c r="A223" s="75" t="s">
        <v>69</v>
      </c>
      <c r="B223" s="116" t="s">
        <v>162</v>
      </c>
      <c r="C223" s="138">
        <f>C224+C225+C238</f>
        <v>16811.1</v>
      </c>
      <c r="D223" s="138">
        <f>D224+D225+D238</f>
        <v>19419.7</v>
      </c>
      <c r="E223" s="138">
        <f>E224+E225+E238</f>
        <v>9402.5</v>
      </c>
      <c r="F223" s="138">
        <f>F224+F225+F238</f>
        <v>18192.2</v>
      </c>
      <c r="G223" s="138">
        <f>G224+G225+G238</f>
        <v>19419.7</v>
      </c>
      <c r="H223" s="69">
        <f t="shared" si="47"/>
        <v>0.014</v>
      </c>
      <c r="I223" s="144">
        <f t="shared" si="50"/>
        <v>2.065</v>
      </c>
      <c r="J223" s="172">
        <f t="shared" si="48"/>
        <v>0</v>
      </c>
      <c r="K223" s="173">
        <f>G223/D223</f>
        <v>1</v>
      </c>
      <c r="L223" s="183">
        <f t="shared" si="51"/>
        <v>1227.5</v>
      </c>
    </row>
    <row r="224" spans="1:12" ht="40.5">
      <c r="A224" s="13">
        <v>611</v>
      </c>
      <c r="B224" s="7" t="s">
        <v>89</v>
      </c>
      <c r="C224" s="5">
        <v>14342.4</v>
      </c>
      <c r="D224" s="87">
        <v>13078.7</v>
      </c>
      <c r="E224" s="87">
        <v>7137.3</v>
      </c>
      <c r="F224" s="87">
        <v>12818.5</v>
      </c>
      <c r="G224" s="87">
        <v>13078.7</v>
      </c>
      <c r="H224" s="135">
        <f t="shared" si="47"/>
        <v>0.01</v>
      </c>
      <c r="I224" s="173">
        <f t="shared" si="50"/>
        <v>1.832</v>
      </c>
      <c r="J224" s="172">
        <f t="shared" si="48"/>
        <v>0</v>
      </c>
      <c r="K224" s="173">
        <f>G224/D224</f>
        <v>1</v>
      </c>
      <c r="L224" s="181">
        <f t="shared" si="51"/>
        <v>260.2</v>
      </c>
    </row>
    <row r="225" spans="1:12" ht="13.5">
      <c r="A225" s="13">
        <v>612</v>
      </c>
      <c r="B225" s="7" t="s">
        <v>90</v>
      </c>
      <c r="C225" s="5">
        <v>2468.7</v>
      </c>
      <c r="D225" s="87">
        <v>6341</v>
      </c>
      <c r="E225" s="87">
        <f>1915.2+350</f>
        <v>2265.2</v>
      </c>
      <c r="F225" s="87">
        <v>5021.5</v>
      </c>
      <c r="G225" s="87">
        <v>6341</v>
      </c>
      <c r="H225" s="135">
        <f t="shared" si="47"/>
        <v>0.005</v>
      </c>
      <c r="I225" s="173">
        <f t="shared" si="50"/>
        <v>2.799</v>
      </c>
      <c r="J225" s="172">
        <f t="shared" si="48"/>
        <v>0</v>
      </c>
      <c r="K225" s="173">
        <f>G225/D225</f>
        <v>1</v>
      </c>
      <c r="L225" s="181">
        <f t="shared" si="51"/>
        <v>1319.5</v>
      </c>
    </row>
    <row r="226" spans="1:13" ht="13.5">
      <c r="A226" s="77"/>
      <c r="B226" s="78" t="s">
        <v>25</v>
      </c>
      <c r="C226" s="78"/>
      <c r="D226" s="79"/>
      <c r="E226" s="79"/>
      <c r="F226" s="79"/>
      <c r="G226" s="79"/>
      <c r="H226" s="136"/>
      <c r="I226" s="173"/>
      <c r="J226" s="172"/>
      <c r="K226" s="173"/>
      <c r="L226" s="181"/>
      <c r="M226" s="214"/>
    </row>
    <row r="227" spans="1:12" ht="13.5">
      <c r="A227" s="77"/>
      <c r="B227" s="72" t="s">
        <v>91</v>
      </c>
      <c r="C227" s="73">
        <v>11171.9</v>
      </c>
      <c r="D227" s="73">
        <v>10861.9</v>
      </c>
      <c r="E227" s="79">
        <v>6750</v>
      </c>
      <c r="F227" s="79">
        <v>11411.7</v>
      </c>
      <c r="G227" s="73">
        <v>10861.9</v>
      </c>
      <c r="H227" s="136">
        <f aca="true" t="shared" si="52" ref="H227:H232">G227/$G$243</f>
        <v>0.008</v>
      </c>
      <c r="I227" s="173">
        <f>G227/E227</f>
        <v>1.609</v>
      </c>
      <c r="J227" s="172">
        <f aca="true" t="shared" si="53" ref="J227:J232">G227-D227</f>
        <v>0</v>
      </c>
      <c r="K227" s="173">
        <f aca="true" t="shared" si="54" ref="K227:K232">G227/D227</f>
        <v>1</v>
      </c>
      <c r="L227" s="181">
        <f>G227-F227</f>
        <v>-549.8</v>
      </c>
    </row>
    <row r="228" spans="1:12" ht="13.5">
      <c r="A228" s="77"/>
      <c r="B228" s="72" t="s">
        <v>145</v>
      </c>
      <c r="C228" s="73">
        <v>30</v>
      </c>
      <c r="D228" s="73">
        <v>21</v>
      </c>
      <c r="E228" s="79">
        <v>18.2</v>
      </c>
      <c r="F228" s="79">
        <v>11.1</v>
      </c>
      <c r="G228" s="73">
        <v>21</v>
      </c>
      <c r="H228" s="136">
        <f t="shared" si="52"/>
        <v>0</v>
      </c>
      <c r="I228" s="173">
        <f>G228/E228</f>
        <v>1.154</v>
      </c>
      <c r="J228" s="172">
        <f t="shared" si="53"/>
        <v>0</v>
      </c>
      <c r="K228" s="173">
        <f t="shared" si="54"/>
        <v>1</v>
      </c>
      <c r="L228" s="181">
        <f>G228-F228</f>
        <v>9.9</v>
      </c>
    </row>
    <row r="229" spans="1:12" ht="13.5">
      <c r="A229" s="71"/>
      <c r="B229" s="72" t="s">
        <v>94</v>
      </c>
      <c r="C229" s="73">
        <v>2833</v>
      </c>
      <c r="D229" s="73">
        <v>2918.1</v>
      </c>
      <c r="E229" s="79">
        <v>2169.7</v>
      </c>
      <c r="F229" s="79">
        <v>2195.2</v>
      </c>
      <c r="G229" s="73">
        <v>2918.1</v>
      </c>
      <c r="H229" s="136">
        <f t="shared" si="52"/>
        <v>0.002</v>
      </c>
      <c r="I229" s="173">
        <f>G229/E229</f>
        <v>1.345</v>
      </c>
      <c r="J229" s="172">
        <f t="shared" si="53"/>
        <v>0</v>
      </c>
      <c r="K229" s="173">
        <f t="shared" si="54"/>
        <v>1</v>
      </c>
      <c r="L229" s="181">
        <f>G229-F229</f>
        <v>722.9</v>
      </c>
    </row>
    <row r="230" spans="1:12" ht="13.5">
      <c r="A230" s="71"/>
      <c r="B230" s="72" t="s">
        <v>142</v>
      </c>
      <c r="C230" s="73">
        <v>265.8</v>
      </c>
      <c r="D230" s="73">
        <v>16</v>
      </c>
      <c r="E230" s="79">
        <v>42.3</v>
      </c>
      <c r="F230" s="79">
        <v>201.9</v>
      </c>
      <c r="G230" s="73">
        <v>16</v>
      </c>
      <c r="H230" s="136">
        <f t="shared" si="52"/>
        <v>0</v>
      </c>
      <c r="I230" s="173">
        <v>0</v>
      </c>
      <c r="J230" s="172">
        <f t="shared" si="53"/>
        <v>0</v>
      </c>
      <c r="K230" s="173">
        <f t="shared" si="54"/>
        <v>1</v>
      </c>
      <c r="L230" s="181">
        <f>G230-F230</f>
        <v>-185.9</v>
      </c>
    </row>
    <row r="231" spans="1:12" ht="13.5">
      <c r="A231" s="71"/>
      <c r="B231" s="72" t="s">
        <v>245</v>
      </c>
      <c r="C231" s="73">
        <v>2510.4</v>
      </c>
      <c r="D231" s="73">
        <v>5602.7</v>
      </c>
      <c r="E231" s="79">
        <v>422.3</v>
      </c>
      <c r="F231" s="79">
        <v>4372.3</v>
      </c>
      <c r="G231" s="73">
        <v>5602.7</v>
      </c>
      <c r="H231" s="136">
        <f t="shared" si="52"/>
        <v>0.004</v>
      </c>
      <c r="I231" s="173">
        <f>G231/E231</f>
        <v>13.267</v>
      </c>
      <c r="J231" s="172">
        <f t="shared" si="53"/>
        <v>0</v>
      </c>
      <c r="K231" s="173">
        <f t="shared" si="54"/>
        <v>1</v>
      </c>
      <c r="L231" s="181">
        <f>G231-F231</f>
        <v>1230.4</v>
      </c>
    </row>
    <row r="232" spans="1:12" ht="13.5" customHeight="1" hidden="1">
      <c r="A232" s="13"/>
      <c r="B232" s="7" t="s">
        <v>90</v>
      </c>
      <c r="C232" s="73"/>
      <c r="D232" s="120"/>
      <c r="E232" s="120"/>
      <c r="F232" s="120"/>
      <c r="G232" s="120"/>
      <c r="H232" s="123">
        <f t="shared" si="52"/>
        <v>0</v>
      </c>
      <c r="I232" s="144" t="e">
        <f>G232/E232</f>
        <v>#DIV/0!</v>
      </c>
      <c r="J232" s="172">
        <f t="shared" si="53"/>
        <v>0</v>
      </c>
      <c r="K232" s="173" t="e">
        <f t="shared" si="54"/>
        <v>#DIV/0!</v>
      </c>
      <c r="L232" s="181" t="e">
        <f>G232-#REF!</f>
        <v>#REF!</v>
      </c>
    </row>
    <row r="233" spans="1:12" ht="13.5" customHeight="1" hidden="1">
      <c r="A233" s="111"/>
      <c r="B233" s="110" t="s">
        <v>25</v>
      </c>
      <c r="C233" s="73"/>
      <c r="D233" s="120"/>
      <c r="E233" s="120"/>
      <c r="F233" s="120"/>
      <c r="G233" s="120"/>
      <c r="H233" s="123"/>
      <c r="I233" s="144" t="e">
        <f>G233/E233</f>
        <v>#DIV/0!</v>
      </c>
      <c r="J233" s="172"/>
      <c r="K233" s="173"/>
      <c r="L233" s="181"/>
    </row>
    <row r="234" spans="1:12" ht="27" customHeight="1" hidden="1">
      <c r="A234" s="111"/>
      <c r="B234" s="110" t="s">
        <v>146</v>
      </c>
      <c r="C234" s="73"/>
      <c r="D234" s="120"/>
      <c r="E234" s="120"/>
      <c r="F234" s="120"/>
      <c r="G234" s="120"/>
      <c r="H234" s="123">
        <f aca="true" t="shared" si="55" ref="H234:H243">G234/$G$243</f>
        <v>0</v>
      </c>
      <c r="I234" s="144" t="e">
        <f>G234/E234</f>
        <v>#DIV/0!</v>
      </c>
      <c r="J234" s="172">
        <f aca="true" t="shared" si="56" ref="J234:J242">G234-D234</f>
        <v>0</v>
      </c>
      <c r="K234" s="173" t="e">
        <f aca="true" t="shared" si="57" ref="K234:K243">G234/D234</f>
        <v>#DIV/0!</v>
      </c>
      <c r="L234" s="181" t="e">
        <f>G234-#REF!</f>
        <v>#REF!</v>
      </c>
    </row>
    <row r="235" spans="1:12" ht="26.25" customHeight="1">
      <c r="A235" s="156"/>
      <c r="B235" s="209" t="s">
        <v>246</v>
      </c>
      <c r="C235" s="125">
        <v>2100</v>
      </c>
      <c r="D235" s="133">
        <v>1456.2</v>
      </c>
      <c r="E235" s="133">
        <v>891.6</v>
      </c>
      <c r="F235" s="133">
        <v>1647.5</v>
      </c>
      <c r="G235" s="133">
        <v>1456.2</v>
      </c>
      <c r="H235" s="135">
        <f t="shared" si="55"/>
        <v>0.001</v>
      </c>
      <c r="I235" s="144">
        <f>G235/E235</f>
        <v>1.633</v>
      </c>
      <c r="J235" s="172">
        <f t="shared" si="56"/>
        <v>0</v>
      </c>
      <c r="K235" s="173">
        <f t="shared" si="57"/>
        <v>1</v>
      </c>
      <c r="L235" s="181">
        <f aca="true" t="shared" si="58" ref="L235:L243">G235-F235</f>
        <v>-191.3</v>
      </c>
    </row>
    <row r="236" spans="1:12" ht="13.5">
      <c r="A236" s="156"/>
      <c r="B236" s="209" t="s">
        <v>247</v>
      </c>
      <c r="C236" s="125">
        <v>0</v>
      </c>
      <c r="D236" s="133">
        <v>3995.4</v>
      </c>
      <c r="E236" s="133"/>
      <c r="F236" s="133">
        <v>2391.1</v>
      </c>
      <c r="G236" s="133">
        <v>3995.4</v>
      </c>
      <c r="H236" s="135">
        <f t="shared" si="55"/>
        <v>0.003</v>
      </c>
      <c r="I236" s="144"/>
      <c r="J236" s="172">
        <f t="shared" si="56"/>
        <v>0</v>
      </c>
      <c r="K236" s="173">
        <f t="shared" si="57"/>
        <v>1</v>
      </c>
      <c r="L236" s="181">
        <f t="shared" si="58"/>
        <v>1604.3</v>
      </c>
    </row>
    <row r="237" spans="1:12" ht="13.5">
      <c r="A237" s="156"/>
      <c r="B237" s="210" t="s">
        <v>248</v>
      </c>
      <c r="C237" s="125">
        <v>184.1</v>
      </c>
      <c r="D237" s="133">
        <v>0</v>
      </c>
      <c r="E237" s="133"/>
      <c r="F237" s="133">
        <v>229.9</v>
      </c>
      <c r="G237" s="133">
        <v>0</v>
      </c>
      <c r="H237" s="135">
        <f t="shared" si="55"/>
        <v>0</v>
      </c>
      <c r="I237" s="144"/>
      <c r="J237" s="172">
        <f t="shared" si="56"/>
        <v>0</v>
      </c>
      <c r="K237" s="173">
        <v>0</v>
      </c>
      <c r="L237" s="181">
        <f t="shared" si="58"/>
        <v>-229.9</v>
      </c>
    </row>
    <row r="238" spans="1:12" ht="51.75" customHeight="1">
      <c r="A238" s="156" t="s">
        <v>290</v>
      </c>
      <c r="B238" s="7" t="s">
        <v>291</v>
      </c>
      <c r="C238" s="125">
        <v>0</v>
      </c>
      <c r="D238" s="133">
        <v>0</v>
      </c>
      <c r="E238" s="133"/>
      <c r="F238" s="133">
        <v>352.2</v>
      </c>
      <c r="G238" s="133">
        <v>0</v>
      </c>
      <c r="H238" s="135">
        <f t="shared" si="55"/>
        <v>0</v>
      </c>
      <c r="I238" s="144"/>
      <c r="J238" s="172">
        <f t="shared" si="56"/>
        <v>0</v>
      </c>
      <c r="K238" s="173">
        <v>0</v>
      </c>
      <c r="L238" s="181">
        <f t="shared" si="58"/>
        <v>-352.2</v>
      </c>
    </row>
    <row r="239" spans="1:12" s="20" customFormat="1" ht="27">
      <c r="A239" s="67">
        <v>1300</v>
      </c>
      <c r="B239" s="64" t="s">
        <v>98</v>
      </c>
      <c r="C239" s="146">
        <f>C240</f>
        <v>10450.8</v>
      </c>
      <c r="D239" s="146">
        <f>D240</f>
        <v>9049.2</v>
      </c>
      <c r="E239" s="146">
        <f>E240</f>
        <v>13680.8</v>
      </c>
      <c r="F239" s="146">
        <f>F240</f>
        <v>14571</v>
      </c>
      <c r="G239" s="146">
        <f>G240</f>
        <v>9049.2</v>
      </c>
      <c r="H239" s="144">
        <f t="shared" si="55"/>
        <v>0.007</v>
      </c>
      <c r="I239" s="144">
        <f>G239/E239</f>
        <v>0.661</v>
      </c>
      <c r="J239" s="145">
        <f t="shared" si="56"/>
        <v>0</v>
      </c>
      <c r="K239" s="144">
        <f t="shared" si="57"/>
        <v>1</v>
      </c>
      <c r="L239" s="146">
        <f t="shared" si="58"/>
        <v>-5521.8</v>
      </c>
    </row>
    <row r="240" spans="1:12" s="29" customFormat="1" ht="27">
      <c r="A240" s="12" t="s">
        <v>67</v>
      </c>
      <c r="B240" s="25" t="s">
        <v>99</v>
      </c>
      <c r="C240" s="126">
        <v>10450.8</v>
      </c>
      <c r="D240" s="126">
        <v>9049.2</v>
      </c>
      <c r="E240" s="126">
        <v>13680.8</v>
      </c>
      <c r="F240" s="132">
        <v>14571</v>
      </c>
      <c r="G240" s="132">
        <v>9049.2</v>
      </c>
      <c r="H240" s="135">
        <f t="shared" si="55"/>
        <v>0.007</v>
      </c>
      <c r="I240" s="144">
        <f>G240/E240</f>
        <v>0.661</v>
      </c>
      <c r="J240" s="172">
        <f t="shared" si="56"/>
        <v>0</v>
      </c>
      <c r="K240" s="173">
        <f t="shared" si="57"/>
        <v>1</v>
      </c>
      <c r="L240" s="181">
        <f t="shared" si="58"/>
        <v>-5521.8</v>
      </c>
    </row>
    <row r="241" spans="1:12" s="20" customFormat="1" ht="40.5">
      <c r="A241" s="67">
        <v>1400</v>
      </c>
      <c r="B241" s="64" t="s">
        <v>132</v>
      </c>
      <c r="C241" s="146">
        <f>C242</f>
        <v>185000</v>
      </c>
      <c r="D241" s="146">
        <f>D242</f>
        <v>172000</v>
      </c>
      <c r="E241" s="146">
        <f>E242</f>
        <v>70400</v>
      </c>
      <c r="F241" s="63">
        <f>F242</f>
        <v>174007.1</v>
      </c>
      <c r="G241" s="63">
        <f>G242</f>
        <v>172000</v>
      </c>
      <c r="H241" s="62">
        <f t="shared" si="55"/>
        <v>0.128</v>
      </c>
      <c r="I241" s="144">
        <f>G241/E241</f>
        <v>2.443</v>
      </c>
      <c r="J241" s="145">
        <f t="shared" si="56"/>
        <v>0</v>
      </c>
      <c r="K241" s="144">
        <f t="shared" si="57"/>
        <v>1</v>
      </c>
      <c r="L241" s="146">
        <f t="shared" si="58"/>
        <v>-2007.1</v>
      </c>
    </row>
    <row r="242" spans="1:12" s="29" customFormat="1" ht="13.5">
      <c r="A242" s="12" t="s">
        <v>131</v>
      </c>
      <c r="B242" s="25" t="s">
        <v>133</v>
      </c>
      <c r="C242" s="126">
        <v>185000</v>
      </c>
      <c r="D242" s="126">
        <v>172000</v>
      </c>
      <c r="E242" s="126">
        <v>70400</v>
      </c>
      <c r="F242" s="132">
        <v>174007.1</v>
      </c>
      <c r="G242" s="132">
        <v>172000</v>
      </c>
      <c r="H242" s="135">
        <f t="shared" si="55"/>
        <v>0.128</v>
      </c>
      <c r="I242" s="144">
        <f>G242/E242</f>
        <v>2.443</v>
      </c>
      <c r="J242" s="172">
        <f t="shared" si="56"/>
        <v>0</v>
      </c>
      <c r="K242" s="173">
        <f t="shared" si="57"/>
        <v>1</v>
      </c>
      <c r="L242" s="181">
        <f t="shared" si="58"/>
        <v>-2007.1</v>
      </c>
    </row>
    <row r="243" spans="1:12" s="20" customFormat="1" ht="16.5">
      <c r="A243" s="60"/>
      <c r="B243" s="68" t="s">
        <v>52</v>
      </c>
      <c r="C243" s="146">
        <f>C87+C104+C136+C182+C201+C220+C222+C239+C241</f>
        <v>1304577</v>
      </c>
      <c r="D243" s="146">
        <f>D87+D104+D136+D182+D201+D220+D222+D239+D241</f>
        <v>1430147.4</v>
      </c>
      <c r="E243" s="146">
        <f>E87+E104+E136+E182+E201+E220+E222+E239+E241</f>
        <v>836180.9</v>
      </c>
      <c r="F243" s="146">
        <f>F87+F104+F136+F182+F201+F220+F222+F239+F241</f>
        <v>1483344.4</v>
      </c>
      <c r="G243" s="146">
        <f>G87+G104+G136+G182+G201+G220+G222+G239+G241</f>
        <v>1341130.6</v>
      </c>
      <c r="H243" s="62">
        <f t="shared" si="55"/>
        <v>1</v>
      </c>
      <c r="I243" s="144">
        <f>G243/E243</f>
        <v>1.604</v>
      </c>
      <c r="J243" s="145">
        <f>G243-D243</f>
        <v>-89016.8</v>
      </c>
      <c r="K243" s="144">
        <f t="shared" si="57"/>
        <v>0.938</v>
      </c>
      <c r="L243" s="146">
        <f t="shared" si="58"/>
        <v>-142213.8</v>
      </c>
    </row>
    <row r="244" spans="1:12" s="1" customFormat="1" ht="22.5" customHeight="1">
      <c r="A244" s="24"/>
      <c r="B244" s="54"/>
      <c r="C244" s="161"/>
      <c r="D244" s="161"/>
      <c r="E244" s="161"/>
      <c r="F244" s="161"/>
      <c r="G244" s="161"/>
      <c r="H244" s="147"/>
      <c r="I244" s="185"/>
      <c r="J244" s="186"/>
      <c r="K244" s="185"/>
      <c r="L244" s="187"/>
    </row>
    <row r="245" spans="1:12" ht="21.75" customHeight="1">
      <c r="A245" s="193"/>
      <c r="B245" s="194" t="s">
        <v>61</v>
      </c>
      <c r="C245" s="260">
        <f>C84-C243</f>
        <v>0</v>
      </c>
      <c r="D245" s="262">
        <f>D84-D243</f>
        <v>-27046.6</v>
      </c>
      <c r="E245" s="262">
        <f>E84-E243</f>
        <v>-207645</v>
      </c>
      <c r="F245" s="262">
        <f>F84-F243</f>
        <v>25496.4</v>
      </c>
      <c r="G245" s="262">
        <f>G84-G243</f>
        <v>-13920</v>
      </c>
      <c r="H245" s="250">
        <f>G245/G6</f>
        <v>-0.019</v>
      </c>
      <c r="I245" s="254">
        <f>G245/E245</f>
        <v>0.067</v>
      </c>
      <c r="J245" s="252"/>
      <c r="K245" s="254"/>
      <c r="L245" s="257"/>
    </row>
    <row r="246" spans="1:12" ht="18.75" customHeight="1">
      <c r="A246" s="193"/>
      <c r="B246" s="194" t="s">
        <v>62</v>
      </c>
      <c r="C246" s="261"/>
      <c r="D246" s="263"/>
      <c r="E246" s="263"/>
      <c r="F246" s="263"/>
      <c r="G246" s="263"/>
      <c r="H246" s="251"/>
      <c r="I246" s="255"/>
      <c r="J246" s="253"/>
      <c r="K246" s="255"/>
      <c r="L246" s="258"/>
    </row>
    <row r="247" spans="1:12" ht="30" customHeight="1" hidden="1">
      <c r="A247" s="193"/>
      <c r="B247" s="194" t="s">
        <v>63</v>
      </c>
      <c r="C247" s="195">
        <f>C248+C251</f>
        <v>0</v>
      </c>
      <c r="D247" s="94">
        <f>D248+D251</f>
        <v>27046.6</v>
      </c>
      <c r="E247" s="94">
        <f>E248+E251</f>
        <v>207645</v>
      </c>
      <c r="F247" s="94">
        <f>F248+F251</f>
        <v>1754.6</v>
      </c>
      <c r="G247" s="94">
        <f>G248+G251</f>
        <v>-9732.4</v>
      </c>
      <c r="H247" s="154">
        <f>G247/G6</f>
        <v>-0.013</v>
      </c>
      <c r="I247" s="188">
        <f>G247/E247</f>
        <v>-0.047</v>
      </c>
      <c r="J247" s="145">
        <f>G247-D247</f>
        <v>-36779</v>
      </c>
      <c r="K247" s="144">
        <f>G247/D247</f>
        <v>-0.36</v>
      </c>
      <c r="L247" s="146">
        <f>G247-F247</f>
        <v>-11487</v>
      </c>
    </row>
    <row r="248" spans="1:12" ht="29.25" customHeight="1" hidden="1">
      <c r="A248" s="196" t="s">
        <v>76</v>
      </c>
      <c r="B248" s="197" t="s">
        <v>77</v>
      </c>
      <c r="C248" s="190">
        <f>C249+C250</f>
        <v>0</v>
      </c>
      <c r="D248" s="95">
        <v>0</v>
      </c>
      <c r="E248" s="95">
        <f>E249+E250</f>
        <v>0</v>
      </c>
      <c r="F248" s="95">
        <f>F249+F250</f>
        <v>0</v>
      </c>
      <c r="G248" s="95">
        <f>G249+G250</f>
        <v>0</v>
      </c>
      <c r="H248" s="154">
        <v>0</v>
      </c>
      <c r="I248" s="188">
        <v>0</v>
      </c>
      <c r="J248" s="146">
        <v>0</v>
      </c>
      <c r="K248" s="144">
        <v>0</v>
      </c>
      <c r="L248" s="146">
        <f>G248-F248</f>
        <v>0</v>
      </c>
    </row>
    <row r="249" spans="1:12" s="29" customFormat="1" ht="27.75" customHeight="1" hidden="1">
      <c r="A249" s="198" t="s">
        <v>72</v>
      </c>
      <c r="B249" s="199" t="s">
        <v>73</v>
      </c>
      <c r="C249" s="85">
        <v>198500</v>
      </c>
      <c r="D249" s="85">
        <v>278500</v>
      </c>
      <c r="E249" s="85">
        <v>-118500</v>
      </c>
      <c r="F249" s="85">
        <v>118500</v>
      </c>
      <c r="G249" s="85">
        <v>278500</v>
      </c>
      <c r="H249" s="192">
        <v>0</v>
      </c>
      <c r="I249" s="189">
        <f>G249/E249</f>
        <v>-2.35</v>
      </c>
      <c r="J249" s="178">
        <f>G249-D249</f>
        <v>0</v>
      </c>
      <c r="K249" s="182">
        <f>G249/D249</f>
        <v>1</v>
      </c>
      <c r="L249" s="183">
        <f>G249-F249</f>
        <v>160000</v>
      </c>
    </row>
    <row r="250" spans="1:12" s="29" customFormat="1" ht="33" customHeight="1" hidden="1">
      <c r="A250" s="198" t="s">
        <v>74</v>
      </c>
      <c r="B250" s="199" t="s">
        <v>75</v>
      </c>
      <c r="C250" s="85">
        <v>-198500</v>
      </c>
      <c r="D250" s="85">
        <v>-278500</v>
      </c>
      <c r="E250" s="85">
        <v>118500</v>
      </c>
      <c r="F250" s="85">
        <v>-118500</v>
      </c>
      <c r="G250" s="85">
        <v>-278500</v>
      </c>
      <c r="H250" s="192">
        <v>0</v>
      </c>
      <c r="I250" s="189">
        <f>G250/E250</f>
        <v>-2.35</v>
      </c>
      <c r="J250" s="178">
        <f>G250-D250</f>
        <v>0</v>
      </c>
      <c r="K250" s="182">
        <f>G250/D250</f>
        <v>1</v>
      </c>
      <c r="L250" s="183">
        <f>G250-F250</f>
        <v>-160000</v>
      </c>
    </row>
    <row r="251" spans="1:12" ht="27.75" customHeight="1" hidden="1">
      <c r="A251" s="196" t="s">
        <v>78</v>
      </c>
      <c r="B251" s="197" t="s">
        <v>79</v>
      </c>
      <c r="C251" s="190">
        <f>C252+C253</f>
        <v>0</v>
      </c>
      <c r="D251" s="190">
        <f>D252+D253</f>
        <v>27046.6</v>
      </c>
      <c r="E251" s="190">
        <f>E252+E253</f>
        <v>207645</v>
      </c>
      <c r="F251" s="190">
        <f>F252+F253</f>
        <v>1754.6</v>
      </c>
      <c r="G251" s="190">
        <f>G252+G253</f>
        <v>-9732.4</v>
      </c>
      <c r="H251" s="191">
        <f>G251/G247</f>
        <v>1</v>
      </c>
      <c r="I251" s="188">
        <f>G251/E251</f>
        <v>-0.047</v>
      </c>
      <c r="J251" s="145">
        <f>G251-D251</f>
        <v>-36779</v>
      </c>
      <c r="K251" s="144">
        <f>G251/D251</f>
        <v>-0.36</v>
      </c>
      <c r="L251" s="180">
        <f>G251-F251</f>
        <v>-11487</v>
      </c>
    </row>
    <row r="252" spans="1:12" ht="26.25" customHeight="1" hidden="1">
      <c r="A252" s="77" t="s">
        <v>80</v>
      </c>
      <c r="B252" s="78" t="s">
        <v>48</v>
      </c>
      <c r="C252" s="85">
        <f>-(C84+C249)</f>
        <v>-1503077</v>
      </c>
      <c r="D252" s="85">
        <f>-(D84+D249)</f>
        <v>-1681600.8</v>
      </c>
      <c r="E252" s="85">
        <f>-(E84+E249)</f>
        <v>-510035.9</v>
      </c>
      <c r="F252" s="85">
        <v>-987882.1</v>
      </c>
      <c r="G252" s="85">
        <v>-986160.9</v>
      </c>
      <c r="H252" s="192">
        <v>0</v>
      </c>
      <c r="I252" s="189">
        <v>0</v>
      </c>
      <c r="J252" s="172">
        <f>G252-D252</f>
        <v>695439.9</v>
      </c>
      <c r="K252" s="173">
        <f>G252/D252</f>
        <v>0.586</v>
      </c>
      <c r="L252" s="181">
        <f>-(L84)</f>
        <v>181630.2</v>
      </c>
    </row>
    <row r="253" spans="1:12" ht="27" customHeight="1" hidden="1">
      <c r="A253" s="77" t="s">
        <v>81</v>
      </c>
      <c r="B253" s="78" t="s">
        <v>49</v>
      </c>
      <c r="C253" s="85">
        <f>C243+(-C250)</f>
        <v>1503077</v>
      </c>
      <c r="D253" s="85">
        <f>D243+(-D250)</f>
        <v>1708647.4</v>
      </c>
      <c r="E253" s="85">
        <f>E243+(-E250)</f>
        <v>717680.9</v>
      </c>
      <c r="F253" s="85">
        <v>989636.7</v>
      </c>
      <c r="G253" s="85">
        <v>976428.5</v>
      </c>
      <c r="H253" s="192">
        <v>0</v>
      </c>
      <c r="I253" s="189">
        <f>G253/E253</f>
        <v>1.361</v>
      </c>
      <c r="J253" s="172">
        <f>G253-D253</f>
        <v>-732218.9</v>
      </c>
      <c r="K253" s="173">
        <f>G253/D253</f>
        <v>0.571</v>
      </c>
      <c r="L253" s="181">
        <f>L243</f>
        <v>-142213.8</v>
      </c>
    </row>
    <row r="254" spans="2:12" ht="13.5">
      <c r="B254" s="166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</row>
    <row r="255" spans="1:9" ht="13.5">
      <c r="A255" s="52"/>
      <c r="C255" s="212"/>
      <c r="D255" s="23"/>
      <c r="E255" s="23"/>
      <c r="H255" s="50" t="s">
        <v>9</v>
      </c>
      <c r="I255" s="50"/>
    </row>
    <row r="256" spans="2:12" ht="13.5">
      <c r="B256" s="55"/>
      <c r="C256" s="56"/>
      <c r="D256" s="56"/>
      <c r="E256" s="56">
        <f>E222+E220+E201+E182</f>
        <v>69421.4</v>
      </c>
      <c r="F256" s="56"/>
      <c r="G256" s="56"/>
      <c r="H256" s="57"/>
      <c r="I256" s="57"/>
      <c r="J256" s="57"/>
      <c r="K256" s="50" t="s">
        <v>9</v>
      </c>
      <c r="L256" s="2"/>
    </row>
    <row r="257" spans="2:10" ht="13.5">
      <c r="B257" s="58"/>
      <c r="C257" s="58"/>
      <c r="D257" s="56"/>
      <c r="E257" s="56"/>
      <c r="F257" s="219"/>
      <c r="G257" s="57"/>
      <c r="H257" s="57"/>
      <c r="I257" s="57"/>
      <c r="J257" s="59"/>
    </row>
    <row r="258" spans="8:9" ht="13.5">
      <c r="H258" s="50"/>
      <c r="I258" s="50"/>
    </row>
    <row r="259" spans="8:9" ht="13.5">
      <c r="H259" s="50"/>
      <c r="I259" s="50"/>
    </row>
    <row r="260" spans="8:9" ht="13.5">
      <c r="H260" s="50"/>
      <c r="I260" s="50"/>
    </row>
    <row r="261" spans="6:9" ht="13.5">
      <c r="F261" s="216"/>
      <c r="H261" s="50"/>
      <c r="I261" s="50"/>
    </row>
    <row r="262" spans="8:9" ht="13.5">
      <c r="H262" s="50"/>
      <c r="I262" s="50"/>
    </row>
    <row r="263" spans="8:9" ht="13.5">
      <c r="H263" s="50"/>
      <c r="I263" s="50"/>
    </row>
    <row r="264" spans="8:9" ht="13.5">
      <c r="H264" s="50"/>
      <c r="I264" s="50"/>
    </row>
    <row r="265" spans="8:9" ht="13.5">
      <c r="H265" s="50"/>
      <c r="I265" s="50"/>
    </row>
    <row r="266" spans="8:9" ht="13.5">
      <c r="H266" s="50"/>
      <c r="I266" s="50"/>
    </row>
    <row r="267" spans="8:9" ht="13.5">
      <c r="H267" s="50"/>
      <c r="I267" s="50"/>
    </row>
    <row r="268" spans="8:9" ht="13.5">
      <c r="H268" s="50"/>
      <c r="I268" s="50"/>
    </row>
    <row r="269" spans="8:9" ht="13.5">
      <c r="H269" s="50"/>
      <c r="I269" s="50"/>
    </row>
    <row r="270" spans="8:9" ht="13.5">
      <c r="H270" s="50"/>
      <c r="I270" s="50"/>
    </row>
    <row r="271" spans="8:9" ht="13.5">
      <c r="H271" s="50"/>
      <c r="I271" s="50"/>
    </row>
    <row r="272" spans="8:9" ht="13.5">
      <c r="H272" s="50"/>
      <c r="I272" s="50"/>
    </row>
    <row r="273" spans="8:9" ht="13.5">
      <c r="H273" s="50"/>
      <c r="I273" s="50"/>
    </row>
    <row r="274" spans="8:9" ht="13.5">
      <c r="H274" s="50"/>
      <c r="I274" s="50"/>
    </row>
    <row r="275" spans="8:9" ht="13.5">
      <c r="H275" s="50"/>
      <c r="I275" s="50"/>
    </row>
    <row r="276" spans="8:9" ht="13.5">
      <c r="H276" s="50"/>
      <c r="I276" s="50"/>
    </row>
    <row r="277" spans="8:9" ht="13.5">
      <c r="H277" s="50"/>
      <c r="I277" s="50"/>
    </row>
    <row r="278" spans="8:9" ht="13.5">
      <c r="H278" s="50"/>
      <c r="I278" s="50"/>
    </row>
    <row r="279" spans="8:9" ht="13.5">
      <c r="H279" s="50"/>
      <c r="I279" s="50"/>
    </row>
    <row r="280" spans="8:9" ht="13.5">
      <c r="H280" s="50"/>
      <c r="I280" s="50"/>
    </row>
    <row r="281" spans="8:9" ht="13.5">
      <c r="H281" s="50"/>
      <c r="I281" s="50"/>
    </row>
    <row r="282" spans="8:9" ht="13.5">
      <c r="H282" s="50"/>
      <c r="I282" s="50"/>
    </row>
    <row r="283" spans="8:9" ht="13.5">
      <c r="H283" s="50"/>
      <c r="I283" s="50"/>
    </row>
    <row r="284" spans="8:9" ht="13.5">
      <c r="H284" s="50"/>
      <c r="I284" s="50"/>
    </row>
    <row r="285" spans="8:9" ht="13.5">
      <c r="H285" s="50"/>
      <c r="I285" s="50"/>
    </row>
    <row r="286" spans="8:9" ht="13.5">
      <c r="H286" s="50"/>
      <c r="I286" s="50"/>
    </row>
    <row r="287" spans="8:9" ht="13.5">
      <c r="H287" s="50"/>
      <c r="I287" s="50"/>
    </row>
    <row r="288" spans="8:9" ht="13.5">
      <c r="H288" s="50"/>
      <c r="I288" s="50"/>
    </row>
    <row r="289" spans="8:9" ht="13.5">
      <c r="H289" s="50"/>
      <c r="I289" s="50"/>
    </row>
    <row r="290" spans="8:9" ht="13.5">
      <c r="H290" s="50"/>
      <c r="I290" s="50"/>
    </row>
    <row r="291" spans="8:9" ht="13.5">
      <c r="H291" s="50"/>
      <c r="I291" s="50"/>
    </row>
    <row r="292" spans="8:9" ht="13.5">
      <c r="H292" s="50"/>
      <c r="I292" s="50"/>
    </row>
    <row r="293" spans="8:9" ht="13.5">
      <c r="H293" s="50"/>
      <c r="I293" s="50"/>
    </row>
    <row r="294" spans="8:9" ht="13.5">
      <c r="H294" s="50"/>
      <c r="I294" s="50"/>
    </row>
    <row r="295" spans="8:9" ht="13.5">
      <c r="H295" s="50"/>
      <c r="I295" s="50"/>
    </row>
    <row r="296" spans="8:9" ht="13.5">
      <c r="H296" s="50"/>
      <c r="I296" s="50"/>
    </row>
    <row r="297" spans="8:9" ht="13.5">
      <c r="H297" s="50"/>
      <c r="I297" s="50"/>
    </row>
    <row r="298" spans="8:9" ht="13.5">
      <c r="H298" s="50"/>
      <c r="I298" s="50"/>
    </row>
    <row r="299" spans="8:9" ht="13.5">
      <c r="H299" s="50"/>
      <c r="I299" s="50"/>
    </row>
    <row r="300" spans="8:9" ht="13.5">
      <c r="H300" s="50"/>
      <c r="I300" s="50"/>
    </row>
    <row r="301" spans="8:9" ht="13.5">
      <c r="H301" s="50"/>
      <c r="I301" s="50"/>
    </row>
    <row r="302" spans="8:9" ht="13.5">
      <c r="H302" s="50"/>
      <c r="I302" s="50"/>
    </row>
    <row r="303" spans="8:9" ht="13.5">
      <c r="H303" s="50"/>
      <c r="I303" s="50"/>
    </row>
    <row r="304" spans="8:9" ht="13.5">
      <c r="H304" s="50"/>
      <c r="I304" s="50"/>
    </row>
    <row r="305" spans="8:9" ht="13.5">
      <c r="H305" s="50"/>
      <c r="I305" s="50"/>
    </row>
    <row r="306" spans="8:9" ht="13.5">
      <c r="H306" s="50"/>
      <c r="I306" s="50"/>
    </row>
    <row r="307" spans="8:9" ht="13.5">
      <c r="H307" s="50"/>
      <c r="I307" s="50"/>
    </row>
    <row r="308" spans="8:9" ht="13.5">
      <c r="H308" s="50"/>
      <c r="I308" s="50"/>
    </row>
    <row r="309" spans="8:9" ht="13.5">
      <c r="H309" s="50"/>
      <c r="I309" s="50"/>
    </row>
    <row r="310" spans="8:9" ht="13.5">
      <c r="H310" s="50"/>
      <c r="I310" s="50"/>
    </row>
    <row r="311" spans="8:9" ht="13.5">
      <c r="H311" s="50"/>
      <c r="I311" s="50"/>
    </row>
    <row r="312" spans="8:9" ht="13.5">
      <c r="H312" s="50"/>
      <c r="I312" s="50"/>
    </row>
    <row r="313" spans="8:9" ht="13.5">
      <c r="H313" s="50"/>
      <c r="I313" s="50"/>
    </row>
    <row r="314" spans="8:9" ht="13.5">
      <c r="H314" s="50"/>
      <c r="I314" s="50"/>
    </row>
    <row r="315" spans="8:9" ht="13.5">
      <c r="H315" s="50"/>
      <c r="I315" s="50"/>
    </row>
    <row r="316" spans="8:9" ht="13.5">
      <c r="H316" s="50"/>
      <c r="I316" s="50"/>
    </row>
    <row r="317" spans="8:9" ht="13.5">
      <c r="H317" s="50"/>
      <c r="I317" s="50"/>
    </row>
    <row r="318" spans="8:9" ht="13.5">
      <c r="H318" s="50"/>
      <c r="I318" s="50"/>
    </row>
    <row r="319" spans="8:9" ht="13.5">
      <c r="H319" s="50"/>
      <c r="I319" s="50"/>
    </row>
    <row r="320" spans="8:9" ht="13.5">
      <c r="H320" s="50"/>
      <c r="I320" s="50"/>
    </row>
    <row r="321" spans="8:9" ht="13.5">
      <c r="H321" s="50"/>
      <c r="I321" s="50"/>
    </row>
    <row r="322" spans="8:9" ht="13.5">
      <c r="H322" s="50"/>
      <c r="I322" s="50"/>
    </row>
    <row r="323" spans="8:9" ht="13.5">
      <c r="H323" s="50"/>
      <c r="I323" s="50"/>
    </row>
    <row r="324" spans="8:9" ht="13.5">
      <c r="H324" s="50"/>
      <c r="I324" s="50"/>
    </row>
    <row r="325" spans="8:9" ht="13.5">
      <c r="H325" s="50"/>
      <c r="I325" s="50"/>
    </row>
    <row r="326" spans="8:9" ht="13.5">
      <c r="H326" s="50"/>
      <c r="I326" s="50"/>
    </row>
    <row r="327" spans="8:9" ht="13.5">
      <c r="H327" s="50"/>
      <c r="I327" s="50"/>
    </row>
    <row r="328" spans="8:9" ht="13.5">
      <c r="H328" s="50"/>
      <c r="I328" s="50"/>
    </row>
    <row r="329" spans="8:9" ht="13.5">
      <c r="H329" s="50"/>
      <c r="I329" s="50"/>
    </row>
    <row r="330" spans="8:9" ht="13.5">
      <c r="H330" s="50"/>
      <c r="I330" s="50"/>
    </row>
    <row r="331" spans="8:9" ht="13.5">
      <c r="H331" s="50"/>
      <c r="I331" s="50"/>
    </row>
    <row r="332" spans="8:9" ht="13.5">
      <c r="H332" s="50"/>
      <c r="I332" s="50"/>
    </row>
    <row r="333" spans="8:9" ht="13.5">
      <c r="H333" s="50"/>
      <c r="I333" s="50"/>
    </row>
    <row r="334" spans="8:9" ht="13.5">
      <c r="H334" s="50"/>
      <c r="I334" s="50"/>
    </row>
    <row r="335" spans="8:9" ht="13.5">
      <c r="H335" s="50"/>
      <c r="I335" s="50"/>
    </row>
    <row r="336" spans="8:9" ht="13.5">
      <c r="H336" s="50"/>
      <c r="I336" s="50"/>
    </row>
    <row r="337" spans="8:9" ht="13.5">
      <c r="H337" s="50"/>
      <c r="I337" s="50"/>
    </row>
    <row r="338" spans="8:9" ht="13.5">
      <c r="H338" s="50"/>
      <c r="I338" s="50"/>
    </row>
    <row r="339" spans="8:9" ht="13.5">
      <c r="H339" s="50"/>
      <c r="I339" s="50"/>
    </row>
    <row r="340" spans="8:9" ht="13.5">
      <c r="H340" s="50"/>
      <c r="I340" s="50"/>
    </row>
    <row r="341" spans="8:9" ht="13.5">
      <c r="H341" s="50"/>
      <c r="I341" s="50"/>
    </row>
    <row r="342" spans="8:9" ht="13.5">
      <c r="H342" s="50"/>
      <c r="I342" s="50"/>
    </row>
    <row r="343" spans="8:9" ht="13.5">
      <c r="H343" s="50"/>
      <c r="I343" s="50"/>
    </row>
    <row r="344" spans="8:9" ht="13.5">
      <c r="H344" s="50"/>
      <c r="I344" s="50"/>
    </row>
    <row r="345" spans="8:9" ht="13.5">
      <c r="H345" s="50"/>
      <c r="I345" s="50"/>
    </row>
    <row r="346" spans="8:9" ht="13.5">
      <c r="H346" s="50"/>
      <c r="I346" s="50"/>
    </row>
    <row r="347" spans="8:9" ht="13.5">
      <c r="H347" s="50"/>
      <c r="I347" s="50"/>
    </row>
    <row r="348" spans="8:9" ht="13.5">
      <c r="H348" s="50"/>
      <c r="I348" s="50"/>
    </row>
    <row r="349" spans="8:9" ht="13.5">
      <c r="H349" s="50"/>
      <c r="I349" s="50"/>
    </row>
    <row r="350" spans="8:9" ht="13.5">
      <c r="H350" s="50"/>
      <c r="I350" s="50"/>
    </row>
    <row r="351" spans="8:9" ht="13.5">
      <c r="H351" s="50"/>
      <c r="I351" s="50"/>
    </row>
    <row r="352" spans="8:9" ht="13.5">
      <c r="H352" s="50"/>
      <c r="I352" s="50"/>
    </row>
    <row r="353" spans="8:9" ht="13.5">
      <c r="H353" s="50"/>
      <c r="I353" s="50"/>
    </row>
    <row r="354" spans="8:9" ht="13.5">
      <c r="H354" s="50"/>
      <c r="I354" s="50"/>
    </row>
    <row r="355" spans="8:9" ht="13.5">
      <c r="H355" s="50"/>
      <c r="I355" s="50"/>
    </row>
    <row r="356" spans="8:9" ht="13.5">
      <c r="H356" s="50"/>
      <c r="I356" s="50"/>
    </row>
    <row r="357" spans="8:9" ht="13.5">
      <c r="H357" s="50"/>
      <c r="I357" s="50"/>
    </row>
    <row r="358" spans="8:9" ht="13.5">
      <c r="H358" s="50"/>
      <c r="I358" s="50"/>
    </row>
    <row r="359" spans="8:9" ht="13.5">
      <c r="H359" s="50"/>
      <c r="I359" s="50"/>
    </row>
    <row r="360" spans="8:9" ht="13.5">
      <c r="H360" s="50"/>
      <c r="I360" s="50"/>
    </row>
    <row r="361" spans="8:9" ht="13.5">
      <c r="H361" s="50"/>
      <c r="I361" s="50"/>
    </row>
    <row r="362" spans="8:9" ht="13.5">
      <c r="H362" s="50"/>
      <c r="I362" s="50"/>
    </row>
    <row r="363" spans="8:9" ht="13.5">
      <c r="H363" s="50"/>
      <c r="I363" s="50"/>
    </row>
    <row r="364" spans="8:9" ht="13.5">
      <c r="H364" s="50"/>
      <c r="I364" s="50"/>
    </row>
    <row r="365" spans="8:9" ht="13.5">
      <c r="H365" s="50"/>
      <c r="I365" s="50"/>
    </row>
    <row r="366" spans="8:9" ht="13.5">
      <c r="H366" s="50"/>
      <c r="I366" s="50"/>
    </row>
    <row r="367" spans="8:9" ht="13.5">
      <c r="H367" s="50"/>
      <c r="I367" s="50"/>
    </row>
    <row r="368" spans="8:9" ht="13.5">
      <c r="H368" s="50"/>
      <c r="I368" s="50"/>
    </row>
    <row r="369" spans="8:9" ht="13.5">
      <c r="H369" s="50"/>
      <c r="I369" s="50"/>
    </row>
    <row r="370" spans="8:9" ht="13.5">
      <c r="H370" s="50"/>
      <c r="I370" s="50"/>
    </row>
    <row r="371" spans="8:9" ht="13.5">
      <c r="H371" s="50"/>
      <c r="I371" s="50"/>
    </row>
    <row r="372" spans="8:9" ht="13.5">
      <c r="H372" s="50"/>
      <c r="I372" s="50"/>
    </row>
    <row r="373" spans="8:9" ht="13.5">
      <c r="H373" s="50"/>
      <c r="I373" s="50"/>
    </row>
    <row r="374" spans="8:9" ht="13.5">
      <c r="H374" s="50"/>
      <c r="I374" s="50"/>
    </row>
    <row r="375" spans="8:9" ht="13.5">
      <c r="H375" s="50"/>
      <c r="I375" s="50"/>
    </row>
    <row r="376" spans="8:9" ht="13.5">
      <c r="H376" s="50"/>
      <c r="I376" s="50"/>
    </row>
    <row r="377" spans="8:9" ht="13.5">
      <c r="H377" s="50"/>
      <c r="I377" s="50"/>
    </row>
    <row r="378" spans="8:9" ht="13.5">
      <c r="H378" s="50"/>
      <c r="I378" s="50"/>
    </row>
    <row r="379" spans="8:9" ht="13.5">
      <c r="H379" s="50"/>
      <c r="I379" s="50"/>
    </row>
    <row r="380" spans="8:9" ht="13.5">
      <c r="H380" s="50"/>
      <c r="I380" s="50"/>
    </row>
    <row r="381" spans="8:9" ht="13.5">
      <c r="H381" s="50"/>
      <c r="I381" s="50"/>
    </row>
    <row r="382" spans="8:9" ht="13.5">
      <c r="H382" s="50"/>
      <c r="I382" s="50"/>
    </row>
    <row r="383" spans="8:9" ht="13.5">
      <c r="H383" s="50"/>
      <c r="I383" s="50"/>
    </row>
    <row r="384" spans="8:9" ht="13.5">
      <c r="H384" s="50"/>
      <c r="I384" s="50"/>
    </row>
    <row r="385" spans="8:9" ht="13.5">
      <c r="H385" s="50"/>
      <c r="I385" s="50"/>
    </row>
    <row r="386" spans="8:9" ht="13.5">
      <c r="H386" s="50"/>
      <c r="I386" s="50"/>
    </row>
    <row r="387" spans="8:9" ht="13.5">
      <c r="H387" s="50"/>
      <c r="I387" s="50"/>
    </row>
    <row r="388" spans="8:9" ht="13.5">
      <c r="H388" s="50"/>
      <c r="I388" s="50"/>
    </row>
    <row r="389" spans="8:9" ht="13.5">
      <c r="H389" s="50"/>
      <c r="I389" s="50"/>
    </row>
    <row r="390" spans="8:9" ht="13.5">
      <c r="H390" s="50"/>
      <c r="I390" s="50"/>
    </row>
    <row r="391" spans="8:9" ht="13.5">
      <c r="H391" s="50"/>
      <c r="I391" s="50"/>
    </row>
    <row r="392" spans="8:9" ht="13.5">
      <c r="H392" s="50"/>
      <c r="I392" s="50"/>
    </row>
    <row r="393" spans="8:9" ht="13.5">
      <c r="H393" s="50"/>
      <c r="I393" s="50"/>
    </row>
    <row r="394" spans="8:9" ht="13.5">
      <c r="H394" s="50"/>
      <c r="I394" s="50"/>
    </row>
    <row r="395" spans="8:9" ht="13.5">
      <c r="H395" s="50"/>
      <c r="I395" s="50"/>
    </row>
    <row r="396" spans="8:9" ht="13.5">
      <c r="H396" s="50"/>
      <c r="I396" s="50"/>
    </row>
    <row r="397" spans="8:9" ht="13.5">
      <c r="H397" s="50"/>
      <c r="I397" s="50"/>
    </row>
    <row r="398" spans="8:9" ht="13.5">
      <c r="H398" s="50"/>
      <c r="I398" s="50"/>
    </row>
    <row r="399" spans="8:9" ht="13.5">
      <c r="H399" s="50"/>
      <c r="I399" s="50"/>
    </row>
    <row r="400" spans="8:9" ht="13.5">
      <c r="H400" s="50"/>
      <c r="I400" s="50"/>
    </row>
    <row r="401" spans="8:9" ht="13.5">
      <c r="H401" s="50"/>
      <c r="I401" s="50"/>
    </row>
    <row r="402" spans="8:9" ht="13.5">
      <c r="H402" s="50"/>
      <c r="I402" s="50"/>
    </row>
    <row r="403" spans="8:9" ht="13.5">
      <c r="H403" s="50"/>
      <c r="I403" s="50"/>
    </row>
    <row r="404" spans="8:9" ht="13.5">
      <c r="H404" s="50"/>
      <c r="I404" s="50"/>
    </row>
    <row r="405" spans="8:9" ht="13.5">
      <c r="H405" s="50"/>
      <c r="I405" s="50"/>
    </row>
    <row r="406" spans="8:9" ht="13.5">
      <c r="H406" s="50"/>
      <c r="I406" s="50"/>
    </row>
    <row r="407" spans="8:9" ht="13.5">
      <c r="H407" s="50"/>
      <c r="I407" s="50"/>
    </row>
    <row r="408" spans="8:9" ht="13.5">
      <c r="H408" s="50"/>
      <c r="I408" s="50"/>
    </row>
    <row r="409" spans="8:9" ht="13.5">
      <c r="H409" s="50"/>
      <c r="I409" s="50"/>
    </row>
    <row r="410" spans="8:9" ht="13.5">
      <c r="H410" s="50"/>
      <c r="I410" s="50"/>
    </row>
    <row r="411" spans="8:9" ht="13.5">
      <c r="H411" s="50"/>
      <c r="I411" s="50"/>
    </row>
    <row r="412" spans="8:9" ht="13.5">
      <c r="H412" s="50"/>
      <c r="I412" s="50"/>
    </row>
    <row r="413" spans="8:9" ht="13.5">
      <c r="H413" s="50"/>
      <c r="I413" s="50"/>
    </row>
    <row r="414" spans="8:9" ht="13.5">
      <c r="H414" s="50"/>
      <c r="I414" s="50"/>
    </row>
    <row r="415" spans="8:9" ht="13.5">
      <c r="H415" s="50"/>
      <c r="I415" s="50"/>
    </row>
    <row r="416" spans="8:9" ht="13.5">
      <c r="H416" s="50"/>
      <c r="I416" s="50"/>
    </row>
    <row r="417" spans="8:9" ht="13.5">
      <c r="H417" s="50"/>
      <c r="I417" s="50"/>
    </row>
    <row r="418" spans="8:9" ht="13.5">
      <c r="H418" s="50"/>
      <c r="I418" s="50"/>
    </row>
    <row r="419" spans="8:9" ht="13.5">
      <c r="H419" s="50"/>
      <c r="I419" s="50"/>
    </row>
    <row r="420" spans="8:9" ht="13.5">
      <c r="H420" s="50"/>
      <c r="I420" s="50"/>
    </row>
    <row r="421" spans="8:9" ht="13.5">
      <c r="H421" s="50"/>
      <c r="I421" s="50"/>
    </row>
    <row r="422" spans="8:9" ht="13.5">
      <c r="H422" s="50"/>
      <c r="I422" s="50"/>
    </row>
    <row r="423" spans="8:9" ht="13.5">
      <c r="H423" s="50"/>
      <c r="I423" s="50"/>
    </row>
    <row r="424" spans="8:9" ht="13.5">
      <c r="H424" s="50"/>
      <c r="I424" s="50"/>
    </row>
    <row r="425" spans="8:9" ht="13.5">
      <c r="H425" s="50"/>
      <c r="I425" s="50"/>
    </row>
    <row r="426" spans="8:9" ht="13.5">
      <c r="H426" s="50"/>
      <c r="I426" s="50"/>
    </row>
    <row r="427" spans="8:9" ht="13.5">
      <c r="H427" s="50"/>
      <c r="I427" s="50"/>
    </row>
    <row r="428" spans="8:9" ht="13.5">
      <c r="H428" s="50"/>
      <c r="I428" s="50"/>
    </row>
    <row r="429" spans="8:9" ht="13.5">
      <c r="H429" s="50"/>
      <c r="I429" s="50"/>
    </row>
    <row r="430" spans="8:9" ht="13.5">
      <c r="H430" s="50"/>
      <c r="I430" s="50"/>
    </row>
    <row r="431" spans="8:9" ht="13.5">
      <c r="H431" s="50"/>
      <c r="I431" s="50"/>
    </row>
    <row r="432" spans="8:9" ht="13.5">
      <c r="H432" s="50"/>
      <c r="I432" s="50"/>
    </row>
    <row r="433" spans="8:9" ht="13.5">
      <c r="H433" s="50"/>
      <c r="I433" s="50"/>
    </row>
    <row r="434" spans="8:9" ht="13.5">
      <c r="H434" s="50"/>
      <c r="I434" s="50"/>
    </row>
    <row r="435" spans="8:9" ht="13.5">
      <c r="H435" s="50"/>
      <c r="I435" s="50"/>
    </row>
    <row r="436" spans="8:9" ht="13.5">
      <c r="H436" s="50"/>
      <c r="I436" s="50"/>
    </row>
    <row r="437" spans="8:9" ht="13.5">
      <c r="H437" s="50"/>
      <c r="I437" s="50"/>
    </row>
    <row r="438" spans="8:9" ht="13.5">
      <c r="H438" s="50"/>
      <c r="I438" s="50"/>
    </row>
    <row r="439" spans="8:9" ht="13.5">
      <c r="H439" s="50"/>
      <c r="I439" s="50"/>
    </row>
    <row r="440" spans="8:9" ht="13.5">
      <c r="H440" s="50"/>
      <c r="I440" s="50"/>
    </row>
    <row r="441" spans="8:9" ht="13.5">
      <c r="H441" s="50"/>
      <c r="I441" s="50"/>
    </row>
    <row r="442" spans="8:9" ht="13.5">
      <c r="H442" s="50"/>
      <c r="I442" s="50"/>
    </row>
    <row r="443" spans="8:9" ht="13.5">
      <c r="H443" s="50"/>
      <c r="I443" s="50"/>
    </row>
    <row r="444" spans="8:9" ht="13.5">
      <c r="H444" s="50"/>
      <c r="I444" s="50"/>
    </row>
    <row r="445" spans="8:9" ht="13.5">
      <c r="H445" s="50"/>
      <c r="I445" s="50"/>
    </row>
    <row r="446" spans="8:9" ht="13.5">
      <c r="H446" s="50"/>
      <c r="I446" s="50"/>
    </row>
    <row r="447" spans="8:9" ht="13.5">
      <c r="H447" s="50"/>
      <c r="I447" s="50"/>
    </row>
    <row r="448" spans="8:9" ht="13.5">
      <c r="H448" s="50"/>
      <c r="I448" s="50"/>
    </row>
    <row r="449" spans="8:9" ht="13.5">
      <c r="H449" s="50"/>
      <c r="I449" s="50"/>
    </row>
    <row r="450" spans="8:9" ht="13.5">
      <c r="H450" s="50"/>
      <c r="I450" s="50"/>
    </row>
    <row r="451" spans="8:9" ht="13.5">
      <c r="H451" s="50"/>
      <c r="I451" s="50"/>
    </row>
    <row r="452" spans="8:9" ht="13.5">
      <c r="H452" s="50"/>
      <c r="I452" s="50"/>
    </row>
    <row r="453" spans="8:9" ht="13.5">
      <c r="H453" s="50"/>
      <c r="I453" s="50"/>
    </row>
    <row r="454" spans="8:9" ht="13.5">
      <c r="H454" s="50"/>
      <c r="I454" s="50"/>
    </row>
    <row r="455" spans="8:9" ht="13.5">
      <c r="H455" s="50"/>
      <c r="I455" s="50"/>
    </row>
    <row r="456" spans="8:9" ht="13.5">
      <c r="H456" s="50"/>
      <c r="I456" s="50"/>
    </row>
    <row r="457" spans="8:9" ht="13.5">
      <c r="H457" s="50"/>
      <c r="I457" s="50"/>
    </row>
    <row r="458" spans="8:9" ht="13.5">
      <c r="H458" s="50"/>
      <c r="I458" s="50"/>
    </row>
    <row r="459" spans="8:9" ht="13.5">
      <c r="H459" s="50"/>
      <c r="I459" s="50"/>
    </row>
    <row r="460" spans="8:9" ht="13.5">
      <c r="H460" s="50"/>
      <c r="I460" s="50"/>
    </row>
    <row r="461" spans="8:9" ht="13.5">
      <c r="H461" s="50"/>
      <c r="I461" s="50"/>
    </row>
    <row r="462" spans="8:9" ht="13.5">
      <c r="H462" s="50"/>
      <c r="I462" s="50"/>
    </row>
    <row r="463" spans="8:9" ht="13.5">
      <c r="H463" s="50"/>
      <c r="I463" s="50"/>
    </row>
    <row r="464" spans="8:9" ht="13.5">
      <c r="H464" s="50"/>
      <c r="I464" s="50"/>
    </row>
    <row r="465" spans="8:9" ht="13.5">
      <c r="H465" s="50"/>
      <c r="I465" s="50"/>
    </row>
    <row r="466" spans="8:9" ht="13.5">
      <c r="H466" s="50"/>
      <c r="I466" s="50"/>
    </row>
    <row r="467" spans="8:9" ht="13.5">
      <c r="H467" s="50"/>
      <c r="I467" s="50"/>
    </row>
    <row r="468" spans="8:9" ht="13.5">
      <c r="H468" s="50"/>
      <c r="I468" s="50"/>
    </row>
    <row r="469" spans="8:9" ht="13.5">
      <c r="H469" s="50"/>
      <c r="I469" s="50"/>
    </row>
    <row r="470" spans="8:9" ht="13.5">
      <c r="H470" s="50"/>
      <c r="I470" s="50"/>
    </row>
    <row r="471" spans="8:9" ht="13.5">
      <c r="H471" s="50"/>
      <c r="I471" s="50"/>
    </row>
    <row r="472" spans="8:9" ht="13.5">
      <c r="H472" s="50"/>
      <c r="I472" s="50"/>
    </row>
    <row r="473" spans="8:9" ht="13.5">
      <c r="H473" s="50"/>
      <c r="I473" s="50"/>
    </row>
    <row r="474" spans="8:9" ht="13.5">
      <c r="H474" s="50"/>
      <c r="I474" s="50"/>
    </row>
    <row r="475" spans="8:9" ht="13.5">
      <c r="H475" s="50"/>
      <c r="I475" s="50"/>
    </row>
    <row r="476" spans="8:9" ht="13.5">
      <c r="H476" s="50"/>
      <c r="I476" s="50"/>
    </row>
    <row r="477" spans="8:9" ht="13.5">
      <c r="H477" s="50"/>
      <c r="I477" s="50"/>
    </row>
    <row r="478" spans="8:9" ht="13.5">
      <c r="H478" s="50"/>
      <c r="I478" s="50"/>
    </row>
    <row r="479" spans="8:9" ht="13.5">
      <c r="H479" s="50"/>
      <c r="I479" s="50"/>
    </row>
    <row r="480" spans="8:9" ht="13.5">
      <c r="H480" s="50"/>
      <c r="I480" s="50"/>
    </row>
    <row r="481" spans="8:9" ht="13.5">
      <c r="H481" s="50"/>
      <c r="I481" s="50"/>
    </row>
    <row r="482" spans="8:9" ht="13.5">
      <c r="H482" s="50"/>
      <c r="I482" s="50"/>
    </row>
    <row r="483" spans="8:9" ht="13.5">
      <c r="H483" s="50"/>
      <c r="I483" s="50"/>
    </row>
    <row r="484" spans="8:9" ht="13.5">
      <c r="H484" s="50"/>
      <c r="I484" s="50"/>
    </row>
    <row r="485" spans="8:9" ht="13.5">
      <c r="H485" s="50"/>
      <c r="I485" s="50"/>
    </row>
    <row r="486" spans="8:9" ht="13.5">
      <c r="H486" s="50"/>
      <c r="I486" s="50"/>
    </row>
    <row r="487" spans="8:9" ht="13.5">
      <c r="H487" s="50"/>
      <c r="I487" s="50"/>
    </row>
    <row r="488" spans="8:9" ht="13.5">
      <c r="H488" s="50"/>
      <c r="I488" s="50"/>
    </row>
    <row r="489" spans="8:9" ht="13.5">
      <c r="H489" s="50"/>
      <c r="I489" s="50"/>
    </row>
    <row r="490" spans="8:9" ht="13.5">
      <c r="H490" s="50"/>
      <c r="I490" s="50"/>
    </row>
    <row r="491" spans="8:9" ht="13.5">
      <c r="H491" s="50"/>
      <c r="I491" s="50"/>
    </row>
    <row r="492" spans="8:9" ht="13.5">
      <c r="H492" s="50"/>
      <c r="I492" s="50"/>
    </row>
    <row r="493" spans="8:9" ht="13.5">
      <c r="H493" s="50"/>
      <c r="I493" s="50"/>
    </row>
    <row r="494" spans="8:9" ht="13.5">
      <c r="H494" s="50"/>
      <c r="I494" s="50"/>
    </row>
    <row r="495" spans="8:9" ht="13.5">
      <c r="H495" s="50"/>
      <c r="I495" s="50"/>
    </row>
    <row r="496" spans="8:9" ht="13.5">
      <c r="H496" s="50"/>
      <c r="I496" s="50"/>
    </row>
    <row r="497" spans="8:9" ht="13.5">
      <c r="H497" s="50"/>
      <c r="I497" s="50"/>
    </row>
    <row r="498" spans="8:9" ht="13.5">
      <c r="H498" s="50"/>
      <c r="I498" s="50"/>
    </row>
    <row r="499" spans="8:9" ht="13.5">
      <c r="H499" s="50"/>
      <c r="I499" s="50"/>
    </row>
    <row r="500" spans="8:9" ht="13.5">
      <c r="H500" s="50"/>
      <c r="I500" s="50"/>
    </row>
    <row r="501" spans="8:9" ht="13.5">
      <c r="H501" s="50"/>
      <c r="I501" s="50"/>
    </row>
    <row r="502" spans="8:9" ht="13.5">
      <c r="H502" s="50"/>
      <c r="I502" s="50"/>
    </row>
    <row r="503" spans="8:9" ht="13.5">
      <c r="H503" s="50"/>
      <c r="I503" s="50"/>
    </row>
    <row r="504" spans="8:9" ht="13.5">
      <c r="H504" s="50"/>
      <c r="I504" s="50"/>
    </row>
    <row r="505" spans="8:9" ht="13.5">
      <c r="H505" s="50"/>
      <c r="I505" s="50"/>
    </row>
    <row r="506" spans="8:9" ht="13.5">
      <c r="H506" s="50"/>
      <c r="I506" s="50"/>
    </row>
  </sheetData>
  <sheetProtection/>
  <mergeCells count="12">
    <mergeCell ref="H245:H246"/>
    <mergeCell ref="J245:J246"/>
    <mergeCell ref="K245:K246"/>
    <mergeCell ref="H1:L1"/>
    <mergeCell ref="L245:L246"/>
    <mergeCell ref="A2:K2"/>
    <mergeCell ref="C245:C246"/>
    <mergeCell ref="D245:D246"/>
    <mergeCell ref="G245:G246"/>
    <mergeCell ref="E245:E246"/>
    <mergeCell ref="I245:I246"/>
    <mergeCell ref="F245:F246"/>
  </mergeCells>
  <printOptions/>
  <pageMargins left="0.2362204724409449" right="0.2362204724409449" top="0.35433070866141736" bottom="0.35433070866141736" header="0.31496062992125984" footer="0.31496062992125984"/>
  <pageSetup blackAndWhite="1" fitToHeight="0" fitToWidth="1" horizontalDpi="1200" verticalDpi="1200" orientation="portrait" paperSize="9" scale="68" r:id="rId1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skripnikovaeg</cp:lastModifiedBy>
  <cp:lastPrinted>2022-03-14T06:41:51Z</cp:lastPrinted>
  <dcterms:created xsi:type="dcterms:W3CDTF">1998-04-06T06:06:47Z</dcterms:created>
  <dcterms:modified xsi:type="dcterms:W3CDTF">2022-04-12T04:45:41Z</dcterms:modified>
  <cp:category/>
  <cp:version/>
  <cp:contentType/>
  <cp:contentStatus/>
</cp:coreProperties>
</file>