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бюджета'!$A$1:$L$246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бюджета'!$A$1:$L$246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бюджета'!$A$1:$K$245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бюджета'!$A$1:$K$246</definedName>
    <definedName name="Z_4F278C51_CC0C_4908_B19B_FD853FE30C23_.wvu.PrintArea" localSheetId="0" hidden="1">'Анализ бюджета'!$A$1:$K$245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бюджета'!$A$1:$L$246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бюджета'!$43:$44,'Анализ бюджета'!#REF!,'Анализ бюджета'!$189:$189</definedName>
    <definedName name="Z_735893B7_5E6F_4E87_8F79_7422E435EC59_.wvu.PrintArea" localSheetId="0" hidden="1">'Анализ бюджета'!$A$1:$K$248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бюджета'!$33:$40</definedName>
    <definedName name="Z_8F58F720_5478_11D7_8E43_00002120D636_.wvu.PrintArea" localSheetId="0" hidden="1">'Анализ бюджета'!$A$2:$K$67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бюджета'!$A$1:$L$246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бюджета'!$43:$44,'Анализ бюджета'!#REF!,'Анализ бюджета'!#REF!,'Анализ бюджета'!$189:$189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бюджета'!$A$1:$K$248</definedName>
    <definedName name="Z_97B5DCE1_CCA4_11D7_B6CC_0007E980B7D4_.wvu.Rows" localSheetId="0" hidden="1">'Анализ бюджета'!#REF!,'Анализ бюджета'!$33:$40</definedName>
    <definedName name="Z_A91D99C2_8122_48C0_91AB_172E51C62B1D_.wvu.PrintArea" localSheetId="0" hidden="1">'Анализ бюджета'!$A$1:$K$245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бюджета'!$A$1:$L$246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бюджета'!$189:$189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бюджета'!$A$1:$K$245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бюджета'!$A$1:$L$246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бюджета'!$43:$44,'Анализ бюджета'!#REF!,'Анализ бюджета'!$189:$189</definedName>
    <definedName name="Z_E64E5F61_FD5E_11DA_AA5B_0004761D6C8E_.wvu.PrintArea" localSheetId="0" hidden="1">'Анализ бюджета'!$A$1:$K$245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бюджета'!$G$66</definedName>
    <definedName name="Всего_расходов_2002">'Анализ бюджета'!#REF!</definedName>
    <definedName name="Всего_расходов_2003">'Анализ бюджета'!$G$168</definedName>
    <definedName name="_xlnm.Print_Titles" localSheetId="0">'Анализ бюджета'!$4:$5</definedName>
    <definedName name="_xlnm.Print_Area" localSheetId="0">'Анализ бюджета'!$A$1:$L$241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K34" i="1" l="1"/>
  <c r="K35" i="1"/>
  <c r="K143" i="1"/>
  <c r="K178" i="1"/>
  <c r="K179" i="1"/>
  <c r="K180" i="1"/>
  <c r="K182" i="1"/>
  <c r="K42" i="1"/>
  <c r="K39" i="1"/>
  <c r="K38" i="1"/>
  <c r="K30" i="1"/>
  <c r="F222" i="1"/>
  <c r="F217" i="1"/>
  <c r="D159" i="1"/>
  <c r="E159" i="1"/>
  <c r="F159" i="1"/>
  <c r="G159" i="1"/>
  <c r="C159" i="1"/>
  <c r="L160" i="1"/>
  <c r="J160" i="1"/>
  <c r="K160" i="1"/>
  <c r="L202" i="1"/>
  <c r="J202" i="1"/>
  <c r="K202" i="1"/>
  <c r="L182" i="1"/>
  <c r="J182" i="1"/>
  <c r="G147" i="1"/>
  <c r="G227" i="1"/>
  <c r="G132" i="1"/>
  <c r="G114" i="1"/>
  <c r="D147" i="1"/>
  <c r="D72" i="1"/>
  <c r="E72" i="1"/>
  <c r="F72" i="1"/>
  <c r="G72" i="1"/>
  <c r="C72" i="1"/>
  <c r="C155" i="1"/>
  <c r="F155" i="1"/>
  <c r="F229" i="1"/>
  <c r="F227" i="1"/>
  <c r="F225" i="1"/>
  <c r="F220" i="1"/>
  <c r="F219" i="1"/>
  <c r="F218" i="1"/>
  <c r="F208" i="1"/>
  <c r="F207" i="1" s="1"/>
  <c r="F204" i="1"/>
  <c r="F199" i="1"/>
  <c r="F198" i="1"/>
  <c r="F197" i="1"/>
  <c r="F189" i="1"/>
  <c r="F187" i="1"/>
  <c r="F186" i="1" s="1"/>
  <c r="F184" i="1"/>
  <c r="F168" i="1"/>
  <c r="F167" i="1" s="1"/>
  <c r="G46" i="1"/>
  <c r="D31" i="1"/>
  <c r="F31" i="1"/>
  <c r="K25" i="1" l="1"/>
  <c r="F123" i="1"/>
  <c r="G123" i="1"/>
  <c r="K29" i="1"/>
  <c r="K37" i="1"/>
  <c r="K52" i="1"/>
  <c r="K65" i="1"/>
  <c r="K86" i="1"/>
  <c r="K125" i="1"/>
  <c r="K126" i="1"/>
  <c r="K134" i="1"/>
  <c r="K183" i="1"/>
  <c r="K58" i="1" l="1"/>
  <c r="L52" i="1" l="1"/>
  <c r="J52" i="1"/>
  <c r="J58" i="1"/>
  <c r="L58" i="1"/>
  <c r="D46" i="1"/>
  <c r="L64" i="1"/>
  <c r="J64" i="1"/>
  <c r="F63" i="1"/>
  <c r="L55" i="1"/>
  <c r="J55" i="1"/>
  <c r="G31" i="1" l="1"/>
  <c r="I35" i="1"/>
  <c r="J35" i="1"/>
  <c r="L35" i="1"/>
  <c r="F97" i="1" l="1"/>
  <c r="L92" i="1" l="1"/>
  <c r="K92" i="1"/>
  <c r="K47" i="1"/>
  <c r="D36" i="1" l="1"/>
  <c r="D105" i="1" l="1"/>
  <c r="D99" i="1" s="1"/>
  <c r="D97" i="1" s="1"/>
  <c r="D93" i="1"/>
  <c r="C141" i="1"/>
  <c r="C150" i="1"/>
  <c r="L120" i="1"/>
  <c r="K120" i="1"/>
  <c r="J120" i="1"/>
  <c r="C105" i="1"/>
  <c r="E150" i="1" l="1"/>
  <c r="E141" i="1"/>
  <c r="E132" i="1"/>
  <c r="E114" i="1"/>
  <c r="E105" i="1"/>
  <c r="E97" i="1"/>
  <c r="E93" i="1"/>
  <c r="K223" i="1"/>
  <c r="K224" i="1"/>
  <c r="E229" i="1"/>
  <c r="E227" i="1"/>
  <c r="E225" i="1"/>
  <c r="E204" i="1"/>
  <c r="E184" i="1"/>
  <c r="E84" i="1"/>
  <c r="E63" i="1"/>
  <c r="E60" i="1"/>
  <c r="E53" i="1"/>
  <c r="E46" i="1"/>
  <c r="E44" i="1"/>
  <c r="E40" i="1"/>
  <c r="E36" i="1"/>
  <c r="E31" i="1"/>
  <c r="E23" i="1"/>
  <c r="E19" i="1"/>
  <c r="E17" i="1"/>
  <c r="E14" i="1"/>
  <c r="E13" i="1" s="1"/>
  <c r="E11" i="1"/>
  <c r="E9" i="1"/>
  <c r="E43" i="1" l="1"/>
  <c r="K222" i="1"/>
  <c r="E91" i="1"/>
  <c r="E16" i="1"/>
  <c r="E7" i="1" s="1"/>
  <c r="E22" i="1"/>
  <c r="E8" i="1"/>
  <c r="E6" i="1" l="1"/>
  <c r="E66" i="1" s="1"/>
  <c r="E240" i="1" s="1"/>
  <c r="D168" i="1"/>
  <c r="G168" i="1"/>
  <c r="C168" i="1"/>
  <c r="L183" i="1"/>
  <c r="J183" i="1"/>
  <c r="L173" i="1"/>
  <c r="J173" i="1"/>
  <c r="L201" i="1"/>
  <c r="L203" i="1"/>
  <c r="K201" i="1"/>
  <c r="K203" i="1"/>
  <c r="J201" i="1"/>
  <c r="J203" i="1"/>
  <c r="G187" i="1"/>
  <c r="C187" i="1"/>
  <c r="D187" i="1"/>
  <c r="C208" i="1"/>
  <c r="D208" i="1"/>
  <c r="G208" i="1"/>
  <c r="L211" i="1"/>
  <c r="J211" i="1"/>
  <c r="L222" i="1"/>
  <c r="L223" i="1"/>
  <c r="J222" i="1"/>
  <c r="J223" i="1"/>
  <c r="K76" i="1" l="1"/>
  <c r="K77" i="1"/>
  <c r="J133" i="1"/>
  <c r="J118" i="1" l="1"/>
  <c r="J92" i="1"/>
  <c r="J54" i="1"/>
  <c r="J51" i="1"/>
  <c r="J38" i="1"/>
  <c r="J25" i="1"/>
  <c r="G40" i="1" l="1"/>
  <c r="L54" i="1" l="1"/>
  <c r="L56" i="1"/>
  <c r="K54" i="1"/>
  <c r="J56" i="1"/>
  <c r="D53" i="1" l="1"/>
  <c r="F53" i="1"/>
  <c r="G53" i="1"/>
  <c r="C53" i="1"/>
  <c r="F19" i="1"/>
  <c r="J29" i="1" l="1"/>
  <c r="L29" i="1"/>
  <c r="J185" i="1" l="1"/>
  <c r="K185" i="1"/>
  <c r="L185" i="1"/>
  <c r="G184" i="1"/>
  <c r="G167" i="1" s="1"/>
  <c r="D184" i="1"/>
  <c r="D167" i="1" s="1"/>
  <c r="C184" i="1"/>
  <c r="C167" i="1" s="1"/>
  <c r="G141" i="1"/>
  <c r="J158" i="1"/>
  <c r="K158" i="1"/>
  <c r="L158" i="1"/>
  <c r="L151" i="1"/>
  <c r="K151" i="1"/>
  <c r="J151" i="1"/>
  <c r="D141" i="1"/>
  <c r="D150" i="1"/>
  <c r="F150" i="1"/>
  <c r="F141" i="1" s="1"/>
  <c r="G150" i="1"/>
  <c r="C123" i="1"/>
  <c r="D132" i="1"/>
  <c r="D123" i="1" s="1"/>
  <c r="F132" i="1"/>
  <c r="C132" i="1"/>
  <c r="F105" i="1"/>
  <c r="L107" i="1"/>
  <c r="K107" i="1"/>
  <c r="J107" i="1"/>
  <c r="J74" i="1"/>
  <c r="J75" i="1"/>
  <c r="L75" i="1"/>
  <c r="F69" i="1"/>
  <c r="I148" i="1"/>
  <c r="K148" i="1"/>
  <c r="L148" i="1"/>
  <c r="K156" i="1"/>
  <c r="I156" i="1"/>
  <c r="J156" i="1"/>
  <c r="L156" i="1"/>
  <c r="K157" i="1"/>
  <c r="J157" i="1"/>
  <c r="L157" i="1"/>
  <c r="E130" i="1"/>
  <c r="L134" i="1"/>
  <c r="J134" i="1"/>
  <c r="I134" i="1"/>
  <c r="F114" i="1"/>
  <c r="E71" i="1"/>
  <c r="D69" i="1"/>
  <c r="C69" i="1"/>
  <c r="E123" i="1" l="1"/>
  <c r="E122" i="1" s="1"/>
  <c r="E69" i="1"/>
  <c r="K109" i="1"/>
  <c r="K184" i="1"/>
  <c r="J184" i="1"/>
  <c r="L184" i="1"/>
  <c r="G105" i="1"/>
  <c r="G99" i="1" s="1"/>
  <c r="E210" i="1"/>
  <c r="E208" i="1" s="1"/>
  <c r="E207" i="1" s="1"/>
  <c r="E196" i="1"/>
  <c r="E190" i="1"/>
  <c r="E187" i="1" s="1"/>
  <c r="E186" i="1" s="1"/>
  <c r="E170" i="1"/>
  <c r="E168" i="1" s="1"/>
  <c r="E167" i="1" s="1"/>
  <c r="L99" i="1" l="1"/>
  <c r="E231" i="1"/>
  <c r="E241" i="1" s="1"/>
  <c r="J167" i="1"/>
  <c r="L61" i="1"/>
  <c r="J61" i="1"/>
  <c r="I61" i="1"/>
  <c r="I51" i="1"/>
  <c r="I47" i="1"/>
  <c r="I48" i="1"/>
  <c r="G97" i="1" l="1"/>
  <c r="E233" i="1"/>
  <c r="E239" i="1"/>
  <c r="D60" i="1"/>
  <c r="F60" i="1"/>
  <c r="G60" i="1"/>
  <c r="C60" i="1"/>
  <c r="K60" i="1" l="1"/>
  <c r="L57" i="1"/>
  <c r="K57" i="1"/>
  <c r="J57" i="1"/>
  <c r="I57" i="1"/>
  <c r="I237" i="1" l="1"/>
  <c r="I238" i="1"/>
  <c r="K214" i="1"/>
  <c r="K215" i="1"/>
  <c r="K216" i="1"/>
  <c r="K217" i="1"/>
  <c r="K176" i="1"/>
  <c r="K177" i="1"/>
  <c r="K161" i="1"/>
  <c r="K162" i="1"/>
  <c r="K164" i="1"/>
  <c r="K165" i="1"/>
  <c r="K166" i="1"/>
  <c r="K153" i="1"/>
  <c r="K155" i="1"/>
  <c r="K138" i="1"/>
  <c r="K139" i="1"/>
  <c r="K140" i="1"/>
  <c r="K144" i="1"/>
  <c r="K145" i="1"/>
  <c r="K146" i="1"/>
  <c r="K147" i="1"/>
  <c r="K129" i="1"/>
  <c r="K130" i="1"/>
  <c r="K132" i="1"/>
  <c r="K10" i="1"/>
  <c r="K12" i="1"/>
  <c r="K15" i="1"/>
  <c r="K18" i="1"/>
  <c r="K20" i="1"/>
  <c r="K21" i="1"/>
  <c r="K24" i="1"/>
  <c r="K26" i="1"/>
  <c r="K27" i="1"/>
  <c r="K28" i="1"/>
  <c r="K32" i="1"/>
  <c r="K33" i="1"/>
  <c r="K45" i="1"/>
  <c r="K49" i="1"/>
  <c r="K50" i="1"/>
  <c r="K62" i="1"/>
  <c r="I153" i="1"/>
  <c r="I155" i="1"/>
  <c r="I145" i="1"/>
  <c r="I146" i="1"/>
  <c r="I129" i="1"/>
  <c r="I130" i="1"/>
  <c r="I132" i="1"/>
  <c r="I135" i="1"/>
  <c r="I137" i="1"/>
  <c r="I138" i="1"/>
  <c r="I139" i="1"/>
  <c r="I140" i="1"/>
  <c r="I125" i="1"/>
  <c r="I126" i="1"/>
  <c r="I111" i="1"/>
  <c r="I113" i="1"/>
  <c r="I114" i="1"/>
  <c r="I116" i="1"/>
  <c r="I117" i="1"/>
  <c r="I118" i="1"/>
  <c r="I121" i="1"/>
  <c r="I62" i="1"/>
  <c r="I34" i="1"/>
  <c r="I37" i="1"/>
  <c r="I39" i="1"/>
  <c r="I33" i="1"/>
  <c r="G236" i="1"/>
  <c r="K113" i="1" l="1"/>
  <c r="K111" i="1"/>
  <c r="D40" i="1"/>
  <c r="K40" i="1" s="1"/>
  <c r="I25" i="1" l="1"/>
  <c r="L25" i="1"/>
  <c r="L47" i="1"/>
  <c r="L48" i="1"/>
  <c r="L49" i="1"/>
  <c r="L50" i="1"/>
  <c r="L51" i="1"/>
  <c r="L59" i="1"/>
  <c r="L62" i="1"/>
  <c r="L65" i="1"/>
  <c r="J59" i="1"/>
  <c r="J62" i="1"/>
  <c r="J65" i="1"/>
  <c r="J48" i="1"/>
  <c r="J49" i="1"/>
  <c r="J50" i="1"/>
  <c r="D63" i="1"/>
  <c r="G63" i="1"/>
  <c r="C63" i="1"/>
  <c r="K63" i="1" l="1"/>
  <c r="L63" i="1"/>
  <c r="J63" i="1"/>
  <c r="I181" i="1"/>
  <c r="I195" i="1"/>
  <c r="I200" i="1"/>
  <c r="I226" i="1"/>
  <c r="L224" i="1"/>
  <c r="J224" i="1"/>
  <c r="K141" i="1" l="1"/>
  <c r="G93" i="1"/>
  <c r="I150" i="1"/>
  <c r="G91" i="1" l="1"/>
  <c r="I147" i="1"/>
  <c r="G122" i="1"/>
  <c r="I141" i="1" l="1"/>
  <c r="F122" i="1"/>
  <c r="J200" i="1"/>
  <c r="C204" i="1"/>
  <c r="G204" i="1"/>
  <c r="D204" i="1"/>
  <c r="L206" i="1"/>
  <c r="L226" i="1"/>
  <c r="J226" i="1"/>
  <c r="I209" i="1"/>
  <c r="J209" i="1"/>
  <c r="G225" i="1"/>
  <c r="G207" i="1" s="1"/>
  <c r="D225" i="1"/>
  <c r="D207" i="1" s="1"/>
  <c r="C225" i="1"/>
  <c r="C207" i="1" s="1"/>
  <c r="I225" i="1" l="1"/>
  <c r="J225" i="1"/>
  <c r="L225" i="1"/>
  <c r="C97" i="1"/>
  <c r="I50" i="1" l="1"/>
  <c r="F46" i="1"/>
  <c r="C46" i="1"/>
  <c r="I60" i="1"/>
  <c r="K46" i="1" l="1"/>
  <c r="J46" i="1"/>
  <c r="L60" i="1"/>
  <c r="J60" i="1"/>
  <c r="L238" i="1"/>
  <c r="L237" i="1"/>
  <c r="L230" i="1"/>
  <c r="L228" i="1"/>
  <c r="L221" i="1"/>
  <c r="L214" i="1"/>
  <c r="L215" i="1"/>
  <c r="L216" i="1"/>
  <c r="L217" i="1"/>
  <c r="L213" i="1"/>
  <c r="L210" i="1"/>
  <c r="L205" i="1"/>
  <c r="L200" i="1"/>
  <c r="L193" i="1"/>
  <c r="L194" i="1"/>
  <c r="L195" i="1"/>
  <c r="L196" i="1"/>
  <c r="L192" i="1"/>
  <c r="L190" i="1"/>
  <c r="L188" i="1"/>
  <c r="L181" i="1"/>
  <c r="L174" i="1"/>
  <c r="L175" i="1"/>
  <c r="L176" i="1"/>
  <c r="L177" i="1"/>
  <c r="L172" i="1"/>
  <c r="L170" i="1"/>
  <c r="L169" i="1"/>
  <c r="L165" i="1"/>
  <c r="L166" i="1"/>
  <c r="L164" i="1"/>
  <c r="L161" i="1"/>
  <c r="L159" i="1"/>
  <c r="L153" i="1"/>
  <c r="L154" i="1"/>
  <c r="L155" i="1"/>
  <c r="L152" i="1"/>
  <c r="L125" i="1"/>
  <c r="L126" i="1"/>
  <c r="L127" i="1"/>
  <c r="L128" i="1"/>
  <c r="L129" i="1"/>
  <c r="L130" i="1"/>
  <c r="L132" i="1"/>
  <c r="L133" i="1"/>
  <c r="L135" i="1"/>
  <c r="L136" i="1"/>
  <c r="L143" i="1"/>
  <c r="L137" i="1"/>
  <c r="L138" i="1"/>
  <c r="L139" i="1"/>
  <c r="L140" i="1"/>
  <c r="L141" i="1"/>
  <c r="L144" i="1"/>
  <c r="L145" i="1"/>
  <c r="L146" i="1"/>
  <c r="L147" i="1"/>
  <c r="L150" i="1"/>
  <c r="L123" i="1"/>
  <c r="L121" i="1"/>
  <c r="L96" i="1"/>
  <c r="L100" i="1"/>
  <c r="L101" i="1"/>
  <c r="L102" i="1"/>
  <c r="L103" i="1"/>
  <c r="L105" i="1"/>
  <c r="L106" i="1"/>
  <c r="L108" i="1"/>
  <c r="L109" i="1"/>
  <c r="L110" i="1"/>
  <c r="L111" i="1"/>
  <c r="L112" i="1"/>
  <c r="L113" i="1"/>
  <c r="L114" i="1"/>
  <c r="L116" i="1"/>
  <c r="L117" i="1"/>
  <c r="L118" i="1"/>
  <c r="L95" i="1"/>
  <c r="L88" i="1"/>
  <c r="L71" i="1"/>
  <c r="L72" i="1"/>
  <c r="L74" i="1"/>
  <c r="L76" i="1"/>
  <c r="L77" i="1"/>
  <c r="L78" i="1"/>
  <c r="L79" i="1"/>
  <c r="L80" i="1"/>
  <c r="L81" i="1"/>
  <c r="L82" i="1"/>
  <c r="L83" i="1"/>
  <c r="L70" i="1"/>
  <c r="L45" i="1"/>
  <c r="L34" i="1"/>
  <c r="L37" i="1"/>
  <c r="L38" i="1"/>
  <c r="L39" i="1"/>
  <c r="L41" i="1"/>
  <c r="L42" i="1"/>
  <c r="L30" i="1"/>
  <c r="L32" i="1"/>
  <c r="L24" i="1"/>
  <c r="L26" i="1"/>
  <c r="L27" i="1"/>
  <c r="L15" i="1"/>
  <c r="L18" i="1"/>
  <c r="L20" i="1"/>
  <c r="L21" i="1"/>
  <c r="L10" i="1"/>
  <c r="L12" i="1"/>
  <c r="G9" i="1"/>
  <c r="G11" i="1"/>
  <c r="G14" i="1"/>
  <c r="G17" i="1"/>
  <c r="G19" i="1"/>
  <c r="G23" i="1"/>
  <c r="G36" i="1"/>
  <c r="K36" i="1" s="1"/>
  <c r="G44" i="1"/>
  <c r="L46" i="1"/>
  <c r="G69" i="1"/>
  <c r="G84" i="1"/>
  <c r="G229" i="1"/>
  <c r="F236" i="1"/>
  <c r="F93" i="1"/>
  <c r="F84" i="1"/>
  <c r="F44" i="1"/>
  <c r="F43" i="1" s="1"/>
  <c r="F40" i="1"/>
  <c r="F36" i="1"/>
  <c r="F23" i="1"/>
  <c r="F17" i="1"/>
  <c r="F14" i="1"/>
  <c r="F13" i="1" s="1"/>
  <c r="F11" i="1"/>
  <c r="F9" i="1"/>
  <c r="F8" i="1" s="1"/>
  <c r="G22" i="1" l="1"/>
  <c r="G43" i="1"/>
  <c r="G13" i="1"/>
  <c r="L13" i="1" s="1"/>
  <c r="F22" i="1"/>
  <c r="F91" i="1"/>
  <c r="F231" i="1" s="1"/>
  <c r="G8" i="1"/>
  <c r="L53" i="1"/>
  <c r="L19" i="1"/>
  <c r="L31" i="1"/>
  <c r="L40" i="1"/>
  <c r="L11" i="1"/>
  <c r="L17" i="1"/>
  <c r="L23" i="1"/>
  <c r="L36" i="1"/>
  <c r="L227" i="1"/>
  <c r="L204" i="1"/>
  <c r="L186" i="1"/>
  <c r="L84" i="1"/>
  <c r="L229" i="1"/>
  <c r="L187" i="1"/>
  <c r="L168" i="1"/>
  <c r="L122" i="1"/>
  <c r="L93" i="1"/>
  <c r="L69" i="1"/>
  <c r="L44" i="1"/>
  <c r="L167" i="1"/>
  <c r="L97" i="1"/>
  <c r="L236" i="1"/>
  <c r="L28" i="1"/>
  <c r="L33" i="1"/>
  <c r="L14" i="1"/>
  <c r="L9" i="1"/>
  <c r="G16" i="1"/>
  <c r="F16" i="1"/>
  <c r="I70" i="1"/>
  <c r="I71" i="1"/>
  <c r="I72" i="1"/>
  <c r="I74" i="1"/>
  <c r="I76" i="1"/>
  <c r="I77" i="1"/>
  <c r="I79" i="1"/>
  <c r="I81" i="1"/>
  <c r="I82" i="1"/>
  <c r="I83" i="1"/>
  <c r="I86" i="1"/>
  <c r="I87" i="1"/>
  <c r="I88" i="1"/>
  <c r="I89" i="1"/>
  <c r="I90" i="1"/>
  <c r="I95" i="1"/>
  <c r="I96" i="1"/>
  <c r="I99" i="1"/>
  <c r="I100" i="1"/>
  <c r="I101" i="1"/>
  <c r="I102" i="1"/>
  <c r="I103" i="1"/>
  <c r="I106" i="1"/>
  <c r="I108" i="1"/>
  <c r="I110" i="1"/>
  <c r="I127" i="1"/>
  <c r="I152" i="1"/>
  <c r="I161" i="1"/>
  <c r="I162" i="1"/>
  <c r="I164" i="1"/>
  <c r="I165" i="1"/>
  <c r="I166" i="1"/>
  <c r="I169" i="1"/>
  <c r="I170" i="1"/>
  <c r="I172" i="1"/>
  <c r="I174" i="1"/>
  <c r="I175" i="1"/>
  <c r="I177" i="1"/>
  <c r="I178" i="1"/>
  <c r="I179" i="1"/>
  <c r="I180" i="1"/>
  <c r="I188" i="1"/>
  <c r="I189" i="1"/>
  <c r="I190" i="1"/>
  <c r="I192" i="1"/>
  <c r="I193" i="1"/>
  <c r="I194" i="1"/>
  <c r="I196" i="1"/>
  <c r="I197" i="1"/>
  <c r="I198" i="1"/>
  <c r="I199" i="1"/>
  <c r="I201" i="1"/>
  <c r="I205" i="1"/>
  <c r="I206" i="1"/>
  <c r="I210" i="1"/>
  <c r="I213" i="1"/>
  <c r="I214" i="1"/>
  <c r="I215" i="1"/>
  <c r="I217" i="1"/>
  <c r="I218" i="1"/>
  <c r="I219" i="1"/>
  <c r="I220" i="1"/>
  <c r="I221" i="1"/>
  <c r="I228" i="1"/>
  <c r="I230" i="1"/>
  <c r="I159" i="1"/>
  <c r="D122" i="1"/>
  <c r="I123" i="1"/>
  <c r="D114" i="1"/>
  <c r="I105" i="1"/>
  <c r="I93" i="1"/>
  <c r="C114" i="1"/>
  <c r="L8" i="1" l="1"/>
  <c r="L22" i="1"/>
  <c r="D91" i="1"/>
  <c r="G7" i="1"/>
  <c r="G6" i="1" s="1"/>
  <c r="L43" i="1"/>
  <c r="L91" i="1"/>
  <c r="G231" i="1"/>
  <c r="F7" i="1"/>
  <c r="L16" i="1"/>
  <c r="I204" i="1"/>
  <c r="K69" i="1"/>
  <c r="H202" i="1" l="1"/>
  <c r="H160" i="1"/>
  <c r="H70" i="1"/>
  <c r="H182" i="1"/>
  <c r="H92" i="1"/>
  <c r="H69" i="1"/>
  <c r="I241" i="1"/>
  <c r="G66" i="1"/>
  <c r="H120" i="1"/>
  <c r="H183" i="1"/>
  <c r="H173" i="1"/>
  <c r="H203" i="1"/>
  <c r="H201" i="1"/>
  <c r="H222" i="1"/>
  <c r="H211" i="1"/>
  <c r="H223" i="1"/>
  <c r="H184" i="1"/>
  <c r="H193" i="1"/>
  <c r="H133" i="1"/>
  <c r="H185" i="1"/>
  <c r="H150" i="1"/>
  <c r="H167" i="1"/>
  <c r="H151" i="1"/>
  <c r="H158" i="1"/>
  <c r="H75" i="1"/>
  <c r="H107" i="1"/>
  <c r="H134" i="1"/>
  <c r="H156" i="1"/>
  <c r="H132" i="1"/>
  <c r="H157" i="1"/>
  <c r="L7" i="1"/>
  <c r="H209" i="1"/>
  <c r="H224" i="1"/>
  <c r="H226" i="1"/>
  <c r="H225" i="1"/>
  <c r="L209" i="1"/>
  <c r="F6" i="1"/>
  <c r="F66" i="1" s="1"/>
  <c r="F239" i="1" s="1"/>
  <c r="F235" i="1" s="1"/>
  <c r="E236" i="1"/>
  <c r="E235" i="1" s="1"/>
  <c r="I10" i="1"/>
  <c r="I12" i="1"/>
  <c r="I15" i="1"/>
  <c r="I18" i="1"/>
  <c r="I20" i="1"/>
  <c r="I21" i="1"/>
  <c r="I24" i="1"/>
  <c r="I26" i="1"/>
  <c r="I27" i="1"/>
  <c r="I30" i="1"/>
  <c r="I32" i="1"/>
  <c r="I42" i="1"/>
  <c r="I45" i="1"/>
  <c r="I59" i="1"/>
  <c r="H52" i="1" l="1"/>
  <c r="H58" i="1"/>
  <c r="H35" i="1"/>
  <c r="H55" i="1"/>
  <c r="H62" i="1"/>
  <c r="H54" i="1"/>
  <c r="H61" i="1"/>
  <c r="H49" i="1"/>
  <c r="H57" i="1"/>
  <c r="H56" i="1"/>
  <c r="H50" i="1"/>
  <c r="H63" i="1"/>
  <c r="H30" i="1"/>
  <c r="H29" i="1"/>
  <c r="H60" i="1"/>
  <c r="H65" i="1"/>
  <c r="H46" i="1"/>
  <c r="G233" i="1"/>
  <c r="H48" i="1"/>
  <c r="H39" i="1"/>
  <c r="H40" i="1"/>
  <c r="H41" i="1"/>
  <c r="H53" i="1"/>
  <c r="H25" i="1"/>
  <c r="L6" i="1"/>
  <c r="L208" i="1"/>
  <c r="L66" i="1"/>
  <c r="L240" i="1" s="1"/>
  <c r="H233" i="1" l="1"/>
  <c r="G239" i="1"/>
  <c r="G235" i="1" s="1"/>
  <c r="L207" i="1"/>
  <c r="I28" i="1"/>
  <c r="I239" i="1" l="1"/>
  <c r="L239" i="1"/>
  <c r="L231" i="1"/>
  <c r="F233" i="1"/>
  <c r="H235" i="1" l="1"/>
  <c r="H239" i="1"/>
  <c r="L235" i="1"/>
  <c r="K150" i="1"/>
  <c r="C93" i="1"/>
  <c r="C91" i="1" s="1"/>
  <c r="I168" i="1" l="1"/>
  <c r="I167" i="1"/>
  <c r="J39" i="1"/>
  <c r="C36" i="1"/>
  <c r="J113" i="1" l="1"/>
  <c r="J53" i="1" l="1"/>
  <c r="K53" i="1"/>
  <c r="I53" i="1"/>
  <c r="J138" i="1"/>
  <c r="J139" i="1"/>
  <c r="J140" i="1"/>
  <c r="J144" i="1"/>
  <c r="J127" i="1"/>
  <c r="I46" i="1" l="1"/>
  <c r="J47" i="1"/>
  <c r="I69" i="1" l="1"/>
  <c r="D17" i="1"/>
  <c r="K17" i="1" s="1"/>
  <c r="J132" i="1" l="1"/>
  <c r="I97" i="1" l="1"/>
  <c r="K170" i="1" l="1"/>
  <c r="J170" i="1"/>
  <c r="J76" i="1"/>
  <c r="J77" i="1"/>
  <c r="I122" i="1" l="1"/>
  <c r="J126" i="1" l="1"/>
  <c r="J137" i="1" l="1"/>
  <c r="J30" i="1" l="1"/>
  <c r="K210" i="1" l="1"/>
  <c r="J210" i="1"/>
  <c r="I187" i="1" l="1"/>
  <c r="I186" i="1"/>
  <c r="I208" i="1"/>
  <c r="I207" i="1"/>
  <c r="K190" i="1"/>
  <c r="J190" i="1"/>
  <c r="K118" i="1" l="1"/>
  <c r="J71" i="1" l="1"/>
  <c r="K82" i="1" l="1"/>
  <c r="J135" i="1"/>
  <c r="C186" i="1" l="1"/>
  <c r="K152" i="1"/>
  <c r="J152" i="1"/>
  <c r="J153" i="1"/>
  <c r="J154" i="1"/>
  <c r="J155" i="1"/>
  <c r="K100" i="1" l="1"/>
  <c r="K101" i="1"/>
  <c r="K102" i="1"/>
  <c r="K103" i="1"/>
  <c r="K106" i="1"/>
  <c r="K108" i="1"/>
  <c r="K110" i="1"/>
  <c r="J100" i="1"/>
  <c r="J101" i="1"/>
  <c r="J102" i="1"/>
  <c r="J103" i="1"/>
  <c r="J106" i="1"/>
  <c r="J108" i="1"/>
  <c r="J109" i="1"/>
  <c r="J110" i="1"/>
  <c r="J150" i="1" l="1"/>
  <c r="K105" i="1" l="1"/>
  <c r="J105" i="1"/>
  <c r="L162" i="1"/>
  <c r="J162" i="1"/>
  <c r="J136" i="1" l="1"/>
  <c r="J130" i="1"/>
  <c r="K195" i="1"/>
  <c r="K196" i="1"/>
  <c r="K193" i="1"/>
  <c r="J195" i="1"/>
  <c r="J196" i="1"/>
  <c r="J193" i="1"/>
  <c r="L199" i="1"/>
  <c r="K199" i="1"/>
  <c r="J199" i="1"/>
  <c r="L220" i="1" l="1"/>
  <c r="K220" i="1"/>
  <c r="J220" i="1"/>
  <c r="J216" i="1"/>
  <c r="J217" i="1"/>
  <c r="J214" i="1"/>
  <c r="J176" i="1"/>
  <c r="J174" i="1"/>
  <c r="J172" i="1"/>
  <c r="L180" i="1"/>
  <c r="J180" i="1"/>
  <c r="J177" i="1"/>
  <c r="K174" i="1"/>
  <c r="J169" i="1"/>
  <c r="C40" i="1"/>
  <c r="J42" i="1"/>
  <c r="C14" i="1"/>
  <c r="C236" i="1"/>
  <c r="J12" i="1"/>
  <c r="D44" i="1"/>
  <c r="D43" i="1" s="1"/>
  <c r="I44" i="1"/>
  <c r="I31" i="1"/>
  <c r="D23" i="1"/>
  <c r="K23" i="1" s="1"/>
  <c r="I23" i="1"/>
  <c r="D19" i="1"/>
  <c r="K19" i="1" s="1"/>
  <c r="I19" i="1"/>
  <c r="I17" i="1"/>
  <c r="D14" i="1"/>
  <c r="I14" i="1"/>
  <c r="D11" i="1"/>
  <c r="K11" i="1" s="1"/>
  <c r="I11" i="1"/>
  <c r="D9" i="1"/>
  <c r="I9" i="1"/>
  <c r="K31" i="1" l="1"/>
  <c r="D22" i="1"/>
  <c r="K22" i="1" s="1"/>
  <c r="K43" i="1"/>
  <c r="K44" i="1"/>
  <c r="D8" i="1"/>
  <c r="K8" i="1" s="1"/>
  <c r="K9" i="1"/>
  <c r="D13" i="1"/>
  <c r="K13" i="1" s="1"/>
  <c r="K14" i="1"/>
  <c r="I8" i="1"/>
  <c r="I13" i="1"/>
  <c r="I16" i="1"/>
  <c r="I22" i="1"/>
  <c r="D16" i="1"/>
  <c r="K16" i="1" s="1"/>
  <c r="J11" i="1"/>
  <c r="C9" i="1"/>
  <c r="C31" i="1"/>
  <c r="C23" i="1"/>
  <c r="C11" i="1"/>
  <c r="D84" i="1"/>
  <c r="I84" i="1"/>
  <c r="C84" i="1"/>
  <c r="K230" i="1"/>
  <c r="J230" i="1"/>
  <c r="I229" i="1"/>
  <c r="D229" i="1"/>
  <c r="C229" i="1"/>
  <c r="C22" i="1" l="1"/>
  <c r="D7" i="1"/>
  <c r="K7" i="1" s="1"/>
  <c r="I7" i="1"/>
  <c r="K229" i="1"/>
  <c r="J229" i="1"/>
  <c r="J161" i="1"/>
  <c r="C122" i="1"/>
  <c r="J143" i="1"/>
  <c r="J129" i="1"/>
  <c r="J128" i="1"/>
  <c r="K117" i="1"/>
  <c r="J117" i="1"/>
  <c r="J26" i="1"/>
  <c r="D6" i="1" l="1"/>
  <c r="I6" i="1"/>
  <c r="K122" i="1"/>
  <c r="J165" i="1" l="1"/>
  <c r="K96" i="1"/>
  <c r="J96" i="1"/>
  <c r="J34" i="1"/>
  <c r="J37" i="1" l="1"/>
  <c r="J41" i="1"/>
  <c r="J9" i="1"/>
  <c r="J10" i="1"/>
  <c r="J15" i="1"/>
  <c r="J18" i="1"/>
  <c r="J20" i="1"/>
  <c r="J21" i="1"/>
  <c r="J24" i="1"/>
  <c r="J27" i="1"/>
  <c r="J28" i="1"/>
  <c r="J32" i="1"/>
  <c r="J33" i="1"/>
  <c r="J45" i="1"/>
  <c r="C44" i="1"/>
  <c r="C43" i="1" s="1"/>
  <c r="C19" i="1"/>
  <c r="C17" i="1"/>
  <c r="C13" i="1"/>
  <c r="C8" i="1"/>
  <c r="D66" i="1" l="1"/>
  <c r="I43" i="1"/>
  <c r="J36" i="1"/>
  <c r="J40" i="1"/>
  <c r="J44" i="1"/>
  <c r="J31" i="1"/>
  <c r="J13" i="1"/>
  <c r="J23" i="1"/>
  <c r="J19" i="1"/>
  <c r="J17" i="1"/>
  <c r="J14" i="1"/>
  <c r="J8" i="1"/>
  <c r="C16" i="1"/>
  <c r="C7" i="1" s="1"/>
  <c r="D240" i="1" l="1"/>
  <c r="K240" i="1" s="1"/>
  <c r="J66" i="1"/>
  <c r="K66" i="1"/>
  <c r="C6" i="1"/>
  <c r="C66" i="1" s="1"/>
  <c r="C240" i="1" s="1"/>
  <c r="J43" i="1"/>
  <c r="J22" i="1"/>
  <c r="J16" i="1"/>
  <c r="I66" i="1" l="1"/>
  <c r="H47" i="1"/>
  <c r="H42" i="1"/>
  <c r="H59" i="1"/>
  <c r="H9" i="1"/>
  <c r="H66" i="1"/>
  <c r="H12" i="1"/>
  <c r="H38" i="1"/>
  <c r="H11" i="1"/>
  <c r="K6" i="1"/>
  <c r="J7" i="1"/>
  <c r="J6" i="1"/>
  <c r="H34" i="1" l="1"/>
  <c r="H26" i="1"/>
  <c r="H37" i="1" l="1"/>
  <c r="H36" i="1"/>
  <c r="H27" i="1"/>
  <c r="H51" i="1"/>
  <c r="H45" i="1"/>
  <c r="H32" i="1"/>
  <c r="H28" i="1"/>
  <c r="H24" i="1"/>
  <c r="H20" i="1"/>
  <c r="H18" i="1"/>
  <c r="H15" i="1"/>
  <c r="H33" i="1"/>
  <c r="H21" i="1"/>
  <c r="H10" i="1"/>
  <c r="H8" i="1"/>
  <c r="H14" i="1"/>
  <c r="H16" i="1"/>
  <c r="H23" i="1"/>
  <c r="H17" i="1"/>
  <c r="H13" i="1"/>
  <c r="H7" i="1"/>
  <c r="H19" i="1"/>
  <c r="H44" i="1"/>
  <c r="H31" i="1"/>
  <c r="H43" i="1"/>
  <c r="H22" i="1"/>
  <c r="H6" i="1"/>
  <c r="J175" i="1" l="1"/>
  <c r="K175" i="1"/>
  <c r="K221" i="1" l="1"/>
  <c r="J221" i="1"/>
  <c r="J215" i="1"/>
  <c r="K213" i="1"/>
  <c r="J213" i="1"/>
  <c r="J181" i="1"/>
  <c r="K172" i="1"/>
  <c r="K83" i="1"/>
  <c r="J83" i="1"/>
  <c r="K81" i="1"/>
  <c r="J81" i="1"/>
  <c r="J69" i="1" l="1"/>
  <c r="J82" i="1"/>
  <c r="J90" i="1" l="1"/>
  <c r="K90" i="1"/>
  <c r="L90" i="1"/>
  <c r="J97" i="1" l="1"/>
  <c r="J70" i="1"/>
  <c r="K70" i="1"/>
  <c r="K71" i="1"/>
  <c r="J72" i="1"/>
  <c r="K72" i="1"/>
  <c r="J78" i="1"/>
  <c r="J79" i="1"/>
  <c r="K79" i="1"/>
  <c r="J86" i="1"/>
  <c r="L86" i="1"/>
  <c r="J93" i="1"/>
  <c r="K93" i="1"/>
  <c r="J95" i="1"/>
  <c r="K95" i="1"/>
  <c r="K97" i="1"/>
  <c r="J99" i="1"/>
  <c r="K99" i="1"/>
  <c r="J111" i="1"/>
  <c r="J121" i="1"/>
  <c r="K121" i="1"/>
  <c r="J164" i="1"/>
  <c r="J166" i="1"/>
  <c r="J123" i="1"/>
  <c r="K123" i="1"/>
  <c r="J125" i="1"/>
  <c r="J141" i="1"/>
  <c r="J145" i="1"/>
  <c r="J146" i="1"/>
  <c r="J147" i="1"/>
  <c r="J159" i="1"/>
  <c r="K159" i="1"/>
  <c r="K169" i="1"/>
  <c r="J178" i="1"/>
  <c r="L178" i="1"/>
  <c r="J192" i="1"/>
  <c r="K192" i="1"/>
  <c r="J194" i="1"/>
  <c r="K194" i="1"/>
  <c r="K200" i="1"/>
  <c r="J188" i="1"/>
  <c r="K188" i="1"/>
  <c r="J197" i="1"/>
  <c r="K197" i="1"/>
  <c r="L197" i="1"/>
  <c r="J205" i="1"/>
  <c r="K205" i="1"/>
  <c r="J206" i="1"/>
  <c r="J208" i="1"/>
  <c r="K208" i="1"/>
  <c r="K209" i="1"/>
  <c r="J218" i="1"/>
  <c r="K218" i="1"/>
  <c r="L218" i="1"/>
  <c r="J228" i="1"/>
  <c r="K228" i="1"/>
  <c r="J88" i="1"/>
  <c r="J116" i="1"/>
  <c r="K116" i="1"/>
  <c r="K74" i="1"/>
  <c r="D227" i="1"/>
  <c r="D231" i="1" s="1"/>
  <c r="I227" i="1"/>
  <c r="C227" i="1"/>
  <c r="D241" i="1" l="1"/>
  <c r="J231" i="1"/>
  <c r="K186" i="1"/>
  <c r="J187" i="1"/>
  <c r="K168" i="1"/>
  <c r="J168" i="1"/>
  <c r="K187" i="1"/>
  <c r="J227" i="1"/>
  <c r="J207" i="1"/>
  <c r="J204" i="1"/>
  <c r="J122" i="1"/>
  <c r="J84" i="1"/>
  <c r="K227" i="1"/>
  <c r="K207" i="1"/>
  <c r="K204" i="1"/>
  <c r="K167" i="1"/>
  <c r="J186" i="1" l="1"/>
  <c r="K237" i="1" l="1"/>
  <c r="K238" i="1"/>
  <c r="J237" i="1"/>
  <c r="J238" i="1"/>
  <c r="J241" i="1" l="1"/>
  <c r="K241" i="1"/>
  <c r="D239" i="1" l="1"/>
  <c r="D235" i="1" s="1"/>
  <c r="K235" i="1" s="1"/>
  <c r="D233" i="1"/>
  <c r="J240" i="1" l="1"/>
  <c r="K239" i="1" l="1"/>
  <c r="J239" i="1"/>
  <c r="I235" i="1"/>
  <c r="J235" i="1" l="1"/>
  <c r="J114" i="1" l="1"/>
  <c r="K114" i="1"/>
  <c r="I231" i="1" l="1"/>
  <c r="I91" i="1"/>
  <c r="K91" i="1"/>
  <c r="J91" i="1"/>
  <c r="H113" i="1" l="1"/>
  <c r="H144" i="1"/>
  <c r="H127" i="1"/>
  <c r="H165" i="1"/>
  <c r="K231" i="1"/>
  <c r="H220" i="1"/>
  <c r="H218" i="1"/>
  <c r="L241" i="1"/>
  <c r="H116" i="1"/>
  <c r="H146" i="1"/>
  <c r="H192" i="1"/>
  <c r="H188" i="1"/>
  <c r="H205" i="1"/>
  <c r="H199" i="1"/>
  <c r="H197" i="1"/>
  <c r="H162" i="1"/>
  <c r="H135" i="1"/>
  <c r="H152" i="1"/>
  <c r="H155" i="1"/>
  <c r="H154" i="1"/>
  <c r="H102" i="1"/>
  <c r="H106" i="1"/>
  <c r="H110" i="1"/>
  <c r="H103" i="1"/>
  <c r="H109" i="1"/>
  <c r="H136" i="1"/>
  <c r="H195" i="1"/>
  <c r="H196" i="1"/>
  <c r="H214" i="1"/>
  <c r="H217" i="1"/>
  <c r="H177" i="1"/>
  <c r="H176" i="1"/>
  <c r="H229" i="1"/>
  <c r="H140" i="1"/>
  <c r="H81" i="1"/>
  <c r="H213" i="1"/>
  <c r="H130" i="1"/>
  <c r="H180" i="1"/>
  <c r="H174" i="1"/>
  <c r="H230" i="1"/>
  <c r="H161" i="1"/>
  <c r="H138" i="1"/>
  <c r="H129" i="1"/>
  <c r="H143" i="1"/>
  <c r="H96" i="1"/>
  <c r="H82" i="1"/>
  <c r="H181" i="1"/>
  <c r="H90" i="1"/>
  <c r="H172" i="1"/>
  <c r="H72" i="1"/>
  <c r="H79" i="1"/>
  <c r="H93" i="1"/>
  <c r="H97" i="1"/>
  <c r="H111" i="1"/>
  <c r="H164" i="1"/>
  <c r="H123" i="1"/>
  <c r="H141" i="1"/>
  <c r="H147" i="1"/>
  <c r="H168" i="1"/>
  <c r="H178" i="1"/>
  <c r="H194" i="1"/>
  <c r="H187" i="1"/>
  <c r="H88" i="1"/>
  <c r="H207" i="1"/>
  <c r="H122" i="1"/>
  <c r="I233" i="1"/>
  <c r="H114" i="1"/>
  <c r="H76" i="1"/>
  <c r="H77" i="1"/>
  <c r="H126" i="1"/>
  <c r="H118" i="1"/>
  <c r="H117" i="1"/>
  <c r="H128" i="1"/>
  <c r="H83" i="1"/>
  <c r="H215" i="1"/>
  <c r="H221" i="1"/>
  <c r="H170" i="1"/>
  <c r="H137" i="1"/>
  <c r="H210" i="1"/>
  <c r="H190" i="1"/>
  <c r="H105" i="1"/>
  <c r="H231" i="1"/>
  <c r="H153" i="1"/>
  <c r="H100" i="1"/>
  <c r="H108" i="1"/>
  <c r="H101" i="1"/>
  <c r="H189" i="1"/>
  <c r="H216" i="1"/>
  <c r="H175" i="1"/>
  <c r="H206" i="1"/>
  <c r="H228" i="1"/>
  <c r="H227" i="1"/>
  <c r="H204" i="1"/>
  <c r="H74" i="1"/>
  <c r="H186" i="1"/>
  <c r="H84" i="1"/>
  <c r="H71" i="1"/>
  <c r="H78" i="1"/>
  <c r="H86" i="1"/>
  <c r="H95" i="1"/>
  <c r="H99" i="1"/>
  <c r="H121" i="1"/>
  <c r="H166" i="1"/>
  <c r="H125" i="1"/>
  <c r="H145" i="1"/>
  <c r="H159" i="1"/>
  <c r="H169" i="1"/>
  <c r="H200" i="1"/>
  <c r="H208" i="1"/>
  <c r="H91" i="1"/>
  <c r="C231" i="1" l="1"/>
  <c r="C241" i="1" s="1"/>
  <c r="C233" i="1" l="1"/>
  <c r="C239" i="1"/>
  <c r="C235" i="1" s="1"/>
</calcChain>
</file>

<file path=xl/sharedStrings.xml><?xml version="1.0" encoding="utf-8"?>
<sst xmlns="http://schemas.openxmlformats.org/spreadsheetml/2006/main" count="388" uniqueCount="318">
  <si>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</si>
  <si>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</si>
  <si>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</si>
  <si>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</si>
  <si>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</si>
  <si>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</si>
  <si>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</si>
  <si>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</si>
  <si>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</si>
  <si>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</si>
  <si>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</si>
  <si>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</si>
  <si>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</si>
  <si>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</si>
  <si>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</si>
  <si>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</si>
  <si>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</si>
  <si>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</si>
  <si>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</si>
  <si>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</si>
  <si>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</si>
  <si>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</si>
  <si>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</si>
  <si>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</si>
  <si>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</si>
  <si>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</si>
  <si>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</si>
  <si>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</si>
  <si>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</si>
  <si>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</si>
  <si>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</si>
  <si>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</si>
  <si>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</si>
  <si>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</si>
  <si>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</si>
  <si>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</si>
  <si>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</si>
  <si>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</si>
  <si>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</si>
  <si>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</si>
  <si>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</si>
  <si>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</si>
  <si>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</si>
  <si>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</si>
  <si>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</si>
  <si>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</si>
  <si>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</si>
  <si>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</si>
  <si>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</si>
  <si>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</si>
  <si>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</si>
  <si>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</si>
  <si>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</si>
  <si>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</si>
  <si>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</si>
  <si>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</si>
  <si>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</si>
  <si>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</si>
  <si>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</si>
  <si>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</si>
  <si>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</si>
  <si>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</si>
  <si>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</si>
  <si>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</si>
  <si>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</si>
  <si>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</si>
  <si>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</si>
  <si>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</si>
  <si>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</si>
  <si>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</si>
  <si>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</si>
  <si>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</si>
  <si>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</si>
  <si>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</si>
  <si>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</si>
  <si>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</si>
  <si>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</si>
  <si>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</si>
  <si>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</si>
  <si>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</si>
  <si>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</si>
  <si>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</si>
  <si>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</si>
  <si>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</si>
  <si>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</si>
  <si>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</si>
  <si>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</si>
  <si>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</si>
  <si>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</si>
  <si>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</si>
  <si>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</si>
  <si>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</si>
  <si>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</si>
  <si>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</si>
  <si>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</si>
  <si>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</si>
  <si>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</si>
  <si>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</si>
  <si>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</si>
  <si>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</si>
  <si>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</si>
  <si>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</si>
  <si>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</si>
  <si>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</si>
  <si>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</si>
  <si>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</si>
  <si>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</si>
  <si>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</si>
  <si>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</si>
  <si>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</si>
  <si>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</si>
  <si>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</si>
  <si>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</si>
  <si>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</si>
  <si>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</si>
  <si>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</si>
  <si>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</si>
  <si>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</si>
  <si>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</si>
  <si>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</si>
  <si>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</si>
  <si>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</si>
  <si>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</si>
  <si>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</si>
  <si>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</si>
  <si>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</si>
  <si>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</si>
  <si>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</si>
  <si>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</si>
  <si>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</si>
  <si>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</si>
  <si>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</si>
  <si>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</si>
  <si>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</si>
  <si>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</si>
  <si>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</si>
  <si>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</si>
  <si>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</si>
  <si>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</si>
  <si>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</si>
  <si>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</si>
  <si>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</si>
  <si>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</si>
  <si>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</si>
  <si>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</si>
  <si>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</si>
  <si>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</si>
  <si>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</si>
  <si>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</si>
  <si>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134 1 11 05075 13 0000 120</t>
  </si>
  <si>
    <t>119 1 11 07015 13 0000 120</t>
  </si>
  <si>
    <t>134 1 14 02053 13 0000 410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</si>
  <si>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</si>
  <si>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</si>
  <si>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</si>
  <si>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</si>
  <si>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</si>
  <si>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</si>
  <si>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</si>
  <si>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</si>
  <si>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</si>
  <si>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</si>
  <si>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</si>
  <si>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</si>
  <si>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</si>
  <si>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</si>
  <si>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</si>
  <si>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</si>
  <si>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</si>
  <si>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</si>
  <si>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</si>
  <si>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Погашение кредиторской задолженности за 2014 год (ВЦП "Дорожная деятельность...")</t>
  </si>
  <si>
    <t>000 1 11 09045 13 0000 120</t>
  </si>
  <si>
    <t>Межбюджетные трансферты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</si>
  <si>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</si>
  <si>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</si>
  <si>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</si>
  <si>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</si>
  <si>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</si>
  <si>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</si>
  <si>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</si>
  <si>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-субсидии бюджетным учреждениям на иные цели.</t>
  </si>
  <si>
    <t>ДОХОДЫ ОТ КОМПЕНСАЦИИ ЗАТРАТ ГОСУДАРСТВА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</si>
  <si>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</si>
  <si>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</si>
  <si>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</si>
  <si>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</si>
  <si>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</si>
  <si>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</si>
  <si>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</si>
  <si>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</si>
  <si>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</si>
  <si>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</si>
  <si>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</si>
  <si>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</si>
  <si>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</si>
  <si>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</si>
  <si>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</si>
  <si>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</si>
  <si>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</si>
  <si>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000 2 02 04000 00 0000 150</t>
  </si>
  <si>
    <t>119 2 02 25555 13 0000 150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</si>
  <si>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</si>
  <si>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</si>
  <si>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</si>
  <si>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</si>
  <si>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</si>
  <si>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</si>
  <si>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</si>
  <si>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</si>
  <si>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</si>
  <si>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</si>
  <si>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</si>
  <si>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</si>
  <si>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</si>
  <si>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</si>
  <si>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</si>
  <si>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</si>
  <si>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</si>
  <si>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1004</t>
  </si>
  <si>
    <t>Охрана семьи и детства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</si>
  <si>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</si>
  <si>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</si>
  <si>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</si>
  <si>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</si>
  <si>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- содержание, экспертиза и оценка жил.помещений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</si>
  <si>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</si>
  <si>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</si>
  <si>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</si>
  <si>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</si>
  <si>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</si>
  <si>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</si>
  <si>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</si>
  <si>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</si>
  <si>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</si>
  <si>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</si>
  <si>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</si>
  <si>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</si>
  <si>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</si>
  <si>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</si>
  <si>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8300000000</t>
  </si>
  <si>
    <t>Выполнение работ по рекультивации земель городского поселения</t>
  </si>
  <si>
    <t>7100700000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</si>
  <si>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 (ремонт дворовых и общественных территорий)</t>
  </si>
  <si>
    <t>Расходы на обеспечение деятельности МКУ "Городское хозяйство":</t>
  </si>
  <si>
    <t>0407</t>
  </si>
  <si>
    <t>Лесное хозяйство</t>
  </si>
  <si>
    <t>- коммунальные услуги</t>
  </si>
  <si>
    <t>- прочие расходы</t>
  </si>
  <si>
    <t xml:space="preserve"> - заработная плата с начислениями на оплату труда</t>
  </si>
  <si>
    <t>0709</t>
  </si>
  <si>
    <t>Другие вопросы в области образования</t>
  </si>
  <si>
    <t>МБТ ГО и ЧС</t>
  </si>
  <si>
    <t>001,002</t>
  </si>
  <si>
    <t>011</t>
  </si>
  <si>
    <t>003</t>
  </si>
  <si>
    <t>007,008</t>
  </si>
  <si>
    <t xml:space="preserve">                              4700000000</t>
  </si>
  <si>
    <t>- организация и содержание мест захоронения, в т.ч.погашение кред.задолж.</t>
  </si>
  <si>
    <t>- предотвращения рисков возникновения ЧС  (в рамках ВЦП) в т.ч.погашение кред.задолж.</t>
  </si>
  <si>
    <t>000 1 13 01990 00 0000 130</t>
  </si>
  <si>
    <t xml:space="preserve">ДОХОДЫ ОТ ОКАЗАНИЯ ПЛАТНЫХ УСЛУГ </t>
  </si>
  <si>
    <t>000 1 16 00000 00 0000 140</t>
  </si>
  <si>
    <t>119 2 02 49999 13 0001 150</t>
  </si>
  <si>
    <t>119 2 02 49999 13 0002 150</t>
  </si>
  <si>
    <t xml:space="preserve">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</si>
  <si>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</si>
  <si>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поселений из бюджета Энгельсского муниципального района, за счет средств субсидии из областного бюджета бюджетам муниципальных районов и городских округов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 в рамках реализации государственной программы Саратовской области "Развитие государственного и муниципального управления до 2020 года" и условиях ее расходования</t>
  </si>
  <si>
    <t>- прочие расходы , из них:</t>
  </si>
  <si>
    <t>Укрепление и развитие материально-технической базы в рамках МП «Молодёжь муниципального образования город Энгельс Энгельсского муниципального района Саратовской области» (строительство универсальной спортивной площадки)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</si>
  <si>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</si>
  <si>
    <t>-Расходы на прочие закупки товаров, работ и услуг</t>
  </si>
  <si>
    <t>414</t>
  </si>
  <si>
    <t>Организация и проведение физкультурно-оздоровительных и спортивно-массовых мероприятий</t>
  </si>
  <si>
    <t>Укрепление и развитие материально-технической базы</t>
  </si>
  <si>
    <t xml:space="preserve">Обеспечение первичных мер пожарной безопасности </t>
  </si>
  <si>
    <t>Организация и проведение мероприятий по популяризации народного творчества и культурно-досуговой деятельности</t>
  </si>
  <si>
    <t>Укрепление и развитие материально-технической базы муниципальных организаций культуры</t>
  </si>
  <si>
    <t>- заработная плата с начислениями на оплату труда (МБУ "Энгельсская молодежь"</t>
  </si>
  <si>
    <t>- заработная плата с начислениями на оплату труда (оплата труда несовешеннолетним)</t>
  </si>
  <si>
    <t>Проведение мероприятий для детей и молодежи</t>
  </si>
  <si>
    <t>Обеспечение первичных мер пожарной безопасности</t>
  </si>
  <si>
    <t>Процент исполнения плана 1 квартала</t>
  </si>
  <si>
    <t>4</t>
  </si>
  <si>
    <t>5</t>
  </si>
  <si>
    <t>7</t>
  </si>
  <si>
    <t>10</t>
  </si>
  <si>
    <t>Уд. вес
в 2020 г.</t>
  </si>
  <si>
    <t>71009Z0000; 46000000</t>
  </si>
  <si>
    <t>- ремонт дворовых и общественных территорий (в рамках МП "Современная городская среда")</t>
  </si>
  <si>
    <t>7100300000;          7101101500</t>
  </si>
  <si>
    <t>119 2 18 60010 13 0000 150</t>
  </si>
  <si>
    <t>Доходы бюджетов городских поселений от возврата  субсидий прошлых лет</t>
  </si>
  <si>
    <t>73001Z0000            73004Z0000 2630002100</t>
  </si>
  <si>
    <t>134 1 14 06300 13 0000 430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</si>
  <si>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</si>
  <si>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119 2 02 49999 13 0000 150</t>
  </si>
  <si>
    <t>119 2 18 05010 13 0000 180</t>
  </si>
  <si>
    <t>Доходы бюджетов городских поселений от возврата  бюджетными учреждениями остатков субсидий прошлых лет</t>
  </si>
  <si>
    <t>119 2 02 29999 13 0092 150</t>
  </si>
  <si>
    <t>Субсидия бюджетам городских поселений области надостижение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</t>
  </si>
  <si>
    <t>119 2 02 49999 13 0006 150</t>
  </si>
  <si>
    <t>Межбюджетные трансферты, передаваемые бюджетам городских поселений области за счет средств резервного фонда Правительства Саратовской области</t>
  </si>
  <si>
    <t>прочие неналоговые доходы бюджетов городских поселений</t>
  </si>
  <si>
    <t>102 1 17 05050 13 0000 180</t>
  </si>
  <si>
    <t>- прочие расходы, из них:</t>
  </si>
  <si>
    <t xml:space="preserve">Первоначальный  годовой план 2020 года
</t>
  </si>
  <si>
    <t>Уточненный  годовой план 2020 года</t>
  </si>
  <si>
    <t>Фактическое
исполнение
на 31.12.2019 г.</t>
  </si>
  <si>
    <t>Фактическое
исполнение
на 31.12.2020 г.</t>
  </si>
  <si>
    <t>8</t>
  </si>
  <si>
    <t>119 2 02 16001 13 0002 150</t>
  </si>
  <si>
    <t>119 2 02 45393 13 0000 150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</si>
  <si>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области"</t>
  </si>
  <si>
    <t>Проведение мероприятий по энергоснабжению и повышению энергетической эффективности организаций культуры</t>
  </si>
  <si>
    <t>в т.ч. МБТ ГО и ЧС</t>
  </si>
  <si>
    <t>Сравнение исполнения на 31.12.2019 и 2020 гг.      (гр.6-гр.5)</t>
  </si>
  <si>
    <t>Анализ исполнения  бюджета муниципального образования город Энгельс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</si>
</sst>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  <numFmt numFmtId="170" formatCode="#,##0.00\ &quot;₽&quot;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3" fillId="0" borderId="0" xfId="0" applyNumberFormat="1" applyFont="1" applyFill="1" applyBorder="1" applyAlignment="1">
      <alignment horizontal="left" vertical="justify" wrapText="1"/>
    </xf>
    <xf numFmtId="168" fontId="9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vertical="center"/>
    </xf>
    <xf numFmtId="16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justify" vertical="center"/>
    </xf>
    <xf numFmtId="16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justify" vertical="center"/>
    </xf>
    <xf numFmtId="167" fontId="14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165" fontId="3" fillId="2" borderId="1" xfId="3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7" fillId="5" borderId="1" xfId="0" applyNumberFormat="1" applyFont="1" applyFill="1" applyBorder="1" applyAlignment="1">
      <alignment horizontal="right" vertical="center" wrapText="1"/>
    </xf>
    <xf numFmtId="167" fontId="7" fillId="5" borderId="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justify" vertical="center" wrapText="1"/>
    </xf>
    <xf numFmtId="169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0" fillId="4" borderId="1" xfId="0" applyNumberFormat="1" applyFont="1" applyFill="1" applyBorder="1" applyAlignment="1" applyProtection="1">
      <alignment horizontal="right" vertical="center"/>
    </xf>
    <xf numFmtId="167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2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167" fontId="2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vertical="center"/>
    </xf>
    <xf numFmtId="167" fontId="10" fillId="5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7" fontId="11" fillId="6" borderId="1" xfId="0" applyNumberFormat="1" applyFont="1" applyFill="1" applyBorder="1" applyAlignment="1" applyProtection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  <protection locked="0"/>
    </xf>
    <xf numFmtId="167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horizontal="left" vertic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justify" vertical="center"/>
    </xf>
    <xf numFmtId="0" fontId="7" fillId="6" borderId="1" xfId="0" applyFont="1" applyFill="1" applyBorder="1" applyAlignment="1">
      <alignment horizontal="justify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7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7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7" fontId="7" fillId="7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7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7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5" fontId="3" fillId="6" borderId="1" xfId="3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 wrapText="1"/>
    </xf>
    <xf numFmtId="165" fontId="8" fillId="8" borderId="1" xfId="3" applyNumberFormat="1" applyFont="1" applyFill="1" applyBorder="1" applyAlignment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5" fontId="7" fillId="6" borderId="1" xfId="3" applyNumberFormat="1" applyFont="1" applyFill="1" applyBorder="1" applyAlignment="1">
      <alignment horizontal="right" vertical="center"/>
    </xf>
    <xf numFmtId="0" fontId="8" fillId="9" borderId="1" xfId="0" applyNumberFormat="1" applyFont="1" applyFill="1" applyBorder="1" applyAlignment="1">
      <alignment horizontal="justify" vertical="center" wrapText="1"/>
    </xf>
    <xf numFmtId="167" fontId="8" fillId="9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 applyProtection="1">
      <alignment horizontal="left" vertical="top"/>
      <protection locked="0"/>
    </xf>
    <xf numFmtId="167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NumberFormat="1" applyFont="1" applyFill="1" applyBorder="1" applyAlignment="1">
      <alignment horizontal="justify" vertical="center" wrapText="1"/>
    </xf>
    <xf numFmtId="165" fontId="8" fillId="4" borderId="1" xfId="3" applyNumberFormat="1" applyFont="1" applyFill="1" applyBorder="1" applyAlignment="1">
      <alignment horizontal="right" vertical="center"/>
    </xf>
    <xf numFmtId="165" fontId="7" fillId="4" borderId="1" xfId="3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justify" vertical="center"/>
    </xf>
    <xf numFmtId="167" fontId="7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NumberFormat="1" applyFont="1" applyFill="1" applyBorder="1" applyAlignment="1">
      <alignment horizontal="justify" vertical="center"/>
    </xf>
    <xf numFmtId="49" fontId="7" fillId="6" borderId="0" xfId="0" applyNumberFormat="1" applyFont="1" applyFill="1" applyBorder="1" applyAlignment="1">
      <alignment horizontal="justify" vertical="center" wrapText="1"/>
    </xf>
    <xf numFmtId="167" fontId="11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0" applyNumberFormat="1" applyFont="1" applyFill="1" applyBorder="1" applyAlignment="1" applyProtection="1">
      <alignment horizontal="left" vertical="top" wrapText="1"/>
      <protection locked="0"/>
    </xf>
    <xf numFmtId="167" fontId="8" fillId="0" borderId="0" xfId="0" applyNumberFormat="1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right" vertical="center"/>
    </xf>
    <xf numFmtId="165" fontId="3" fillId="8" borderId="1" xfId="3" applyNumberFormat="1" applyFont="1" applyFill="1" applyBorder="1" applyAlignment="1">
      <alignment horizontal="right" vertical="center"/>
    </xf>
    <xf numFmtId="167" fontId="11" fillId="8" borderId="1" xfId="0" applyNumberFormat="1" applyFont="1" applyFill="1" applyBorder="1" applyAlignment="1" applyProtection="1">
      <alignment horizontal="right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67" fontId="10" fillId="8" borderId="1" xfId="0" applyNumberFormat="1" applyFont="1" applyFill="1" applyBorder="1" applyAlignment="1" applyProtection="1">
      <alignment horizontal="right" vertical="center"/>
    </xf>
    <xf numFmtId="168" fontId="7" fillId="8" borderId="1" xfId="0" applyNumberFormat="1" applyFont="1" applyFill="1" applyBorder="1" applyAlignment="1">
      <alignment horizontal="right" vertical="center"/>
    </xf>
    <xf numFmtId="168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5" fontId="7" fillId="8" borderId="1" xfId="3" applyNumberFormat="1" applyFont="1" applyFill="1" applyBorder="1" applyAlignment="1">
      <alignment horizontal="right" vertical="center"/>
    </xf>
    <xf numFmtId="167" fontId="7" fillId="8" borderId="1" xfId="0" applyNumberFormat="1" applyFont="1" applyFill="1" applyBorder="1" applyAlignment="1">
      <alignment horizontal="right" vertical="center"/>
    </xf>
    <xf numFmtId="168" fontId="21" fillId="8" borderId="1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5" fontId="8" fillId="8" borderId="2" xfId="3" applyNumberFormat="1" applyFont="1" applyFill="1" applyBorder="1" applyAlignment="1">
      <alignment vertical="center"/>
    </xf>
    <xf numFmtId="165" fontId="7" fillId="8" borderId="2" xfId="3" applyNumberFormat="1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horizontal="right" vertical="center"/>
    </xf>
    <xf numFmtId="165" fontId="8" fillId="5" borderId="1" xfId="3" applyNumberFormat="1" applyFont="1" applyFill="1" applyBorder="1" applyAlignment="1">
      <alignment horizontal="right" vertical="center"/>
    </xf>
    <xf numFmtId="165" fontId="7" fillId="5" borderId="1" xfId="3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justify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justify" vertical="center"/>
    </xf>
    <xf numFmtId="165" fontId="21" fillId="0" borderId="1" xfId="3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22" fillId="6" borderId="1" xfId="0" applyNumberFormat="1" applyFont="1" applyFill="1" applyBorder="1" applyAlignment="1">
      <alignment horizontal="right" vertical="center" wrapText="1"/>
    </xf>
    <xf numFmtId="0" fontId="22" fillId="6" borderId="1" xfId="0" applyNumberFormat="1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justify" vertical="center"/>
    </xf>
    <xf numFmtId="4" fontId="3" fillId="6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vertical="center"/>
    </xf>
    <xf numFmtId="167" fontId="8" fillId="7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13" fillId="9" borderId="1" xfId="0" applyFont="1" applyFill="1" applyBorder="1" applyAlignment="1">
      <alignment horizontal="center" vertical="center" wrapText="1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8" fontId="2" fillId="8" borderId="3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5" fontId="2" fillId="8" borderId="3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8" fillId="8" borderId="2" xfId="0" applyNumberFormat="1" applyFont="1" applyFill="1" applyBorder="1" applyAlignment="1">
      <alignment horizontal="right" vertical="center"/>
    </xf>
    <xf numFmtId="167" fontId="8" fillId="8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B7F8C2"/>
      <color rgb="FFFFFF66"/>
      <color rgb="FFF8F8D6"/>
      <color rgb="FFB7F9C2"/>
      <color rgb="FFFDE9D9"/>
      <color rgb="FFB7FFC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94"/>
  <sheetViews>
    <sheetView tabSelected="1" showRuler="0" zoomScale="115" zoomScaleNormal="115" zoomScaleSheetLayoutView="160" workbookViewId="0">
      <pane ySplit="5" topLeftCell="A26" activePane="bottomLeft" state="frozenSplit"/>
      <selection pane="bottomLeft" activeCell="G26" sqref="G26"/>
    </sheetView>
  </sheetViews>
  <sheetFormatPr defaultColWidth="9.140625" defaultRowHeight="13.5" x14ac:dyDescent="0.2"/>
  <cols>
    <col min="1" max="1" width="18.7109375" style="23" customWidth="1"/>
    <col min="2" max="2" width="39.7109375" style="49" customWidth="1"/>
    <col min="3" max="3" width="12.140625" style="49" customWidth="1"/>
    <col min="4" max="4" width="11.85546875" style="50" customWidth="1"/>
    <col min="5" max="5" width="11.85546875" style="50" hidden="1" customWidth="1"/>
    <col min="6" max="7" width="12.42578125" style="51" customWidth="1"/>
    <col min="8" max="8" width="9.28515625" style="126" customWidth="1"/>
    <col min="9" max="9" width="9.28515625" style="126" hidden="1" customWidth="1"/>
    <col min="10" max="10" width="9.5703125" style="51" customWidth="1"/>
    <col min="11" max="11" width="9.85546875" style="51" customWidth="1"/>
    <col min="12" max="12" width="10.7109375" style="51" customWidth="1"/>
    <col min="13" max="16384" width="9.140625" style="2"/>
  </cols>
  <sheetData>
    <row r="1" spans="1:13" x14ac:dyDescent="0.2">
      <c r="H1" s="240"/>
      <c r="I1" s="240"/>
      <c r="J1" s="240"/>
      <c r="K1" s="240"/>
      <c r="L1" s="240"/>
    </row>
    <row r="2" spans="1:13" ht="16.5" x14ac:dyDescent="0.2">
      <c r="A2" s="243" t="s">
        <v>317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52"/>
    </row>
    <row r="3" spans="1:13" x14ac:dyDescent="0.2">
      <c r="A3" s="53"/>
      <c r="B3" s="54"/>
      <c r="C3" s="54"/>
      <c r="D3" s="232"/>
      <c r="E3" s="175"/>
      <c r="F3" s="9"/>
      <c r="G3" s="9"/>
      <c r="H3" s="143"/>
      <c r="I3" s="143"/>
      <c r="L3" s="23" t="s">
        <v>114</v>
      </c>
    </row>
    <row r="4" spans="1:13" s="230" customFormat="1" ht="63.75" x14ac:dyDescent="0.2">
      <c r="A4" s="112" t="s">
        <v>17</v>
      </c>
      <c r="B4" s="113" t="s">
        <v>19</v>
      </c>
      <c r="C4" s="171" t="s">
        <v>306</v>
      </c>
      <c r="D4" s="171" t="s">
        <v>307</v>
      </c>
      <c r="E4" s="171" t="s">
        <v>233</v>
      </c>
      <c r="F4" s="171" t="s">
        <v>308</v>
      </c>
      <c r="G4" s="171" t="s">
        <v>309</v>
      </c>
      <c r="H4" s="142" t="s">
        <v>287</v>
      </c>
      <c r="I4" s="142" t="s">
        <v>282</v>
      </c>
      <c r="J4" s="189" t="s">
        <v>18</v>
      </c>
      <c r="K4" s="189" t="s">
        <v>10</v>
      </c>
      <c r="L4" s="233" t="s">
        <v>316</v>
      </c>
    </row>
    <row r="5" spans="1:13" s="29" customFormat="1" ht="11.25" x14ac:dyDescent="0.2">
      <c r="A5" s="184">
        <v>1</v>
      </c>
      <c r="B5" s="188" t="s">
        <v>65</v>
      </c>
      <c r="C5" s="184">
        <v>3</v>
      </c>
      <c r="D5" s="188" t="s">
        <v>283</v>
      </c>
      <c r="E5" s="184">
        <v>2</v>
      </c>
      <c r="F5" s="188" t="s">
        <v>284</v>
      </c>
      <c r="G5" s="184">
        <v>6</v>
      </c>
      <c r="H5" s="188" t="s">
        <v>285</v>
      </c>
      <c r="I5" s="184">
        <v>3</v>
      </c>
      <c r="J5" s="188" t="s">
        <v>310</v>
      </c>
      <c r="K5" s="184">
        <v>9</v>
      </c>
      <c r="L5" s="188" t="s">
        <v>286</v>
      </c>
    </row>
    <row r="6" spans="1:13" s="10" customFormat="1" ht="16.5" x14ac:dyDescent="0.2">
      <c r="A6" s="32" t="s">
        <v>27</v>
      </c>
      <c r="B6" s="96" t="s">
        <v>146</v>
      </c>
      <c r="C6" s="91">
        <f>C7+C22</f>
        <v>644030.4</v>
      </c>
      <c r="D6" s="91">
        <f t="shared" ref="D6:E6" si="0">D7+D22</f>
        <v>700784.3</v>
      </c>
      <c r="E6" s="91">
        <f t="shared" si="0"/>
        <v>501734</v>
      </c>
      <c r="F6" s="91">
        <f t="shared" ref="F6" si="1">F7+F22</f>
        <v>707974.4</v>
      </c>
      <c r="G6" s="91">
        <f>G7+G22</f>
        <v>698831.9</v>
      </c>
      <c r="H6" s="164">
        <f t="shared" ref="H6:H41" si="2">G6/Всего_доходов_2003</f>
        <v>0.46300000000000002</v>
      </c>
      <c r="I6" s="153">
        <f t="shared" ref="I6:I28" si="3">G6/E6</f>
        <v>1.393</v>
      </c>
      <c r="J6" s="154">
        <f t="shared" ref="J6:J37" si="4">G6-D6</f>
        <v>-1952.4</v>
      </c>
      <c r="K6" s="153">
        <f t="shared" ref="K6:K30" si="5">G6/D6</f>
        <v>0.997</v>
      </c>
      <c r="L6" s="190">
        <f>G6-F6</f>
        <v>-9142.5</v>
      </c>
      <c r="M6" s="17"/>
    </row>
    <row r="7" spans="1:13" s="10" customFormat="1" x14ac:dyDescent="0.2">
      <c r="A7" s="32"/>
      <c r="B7" s="33" t="s">
        <v>11</v>
      </c>
      <c r="C7" s="91">
        <f>C9+C11+C13+C16</f>
        <v>553196.6</v>
      </c>
      <c r="D7" s="91">
        <f t="shared" ref="D7:G7" si="6">D9+D11+D13+D16</f>
        <v>603376.5</v>
      </c>
      <c r="E7" s="91">
        <f t="shared" si="6"/>
        <v>343034.4</v>
      </c>
      <c r="F7" s="91">
        <f t="shared" ref="F7" si="7">F9+F11+F13+F16</f>
        <v>524875.5</v>
      </c>
      <c r="G7" s="91">
        <f t="shared" si="6"/>
        <v>601181.6</v>
      </c>
      <c r="H7" s="164">
        <f t="shared" si="2"/>
        <v>0.39800000000000002</v>
      </c>
      <c r="I7" s="153">
        <f t="shared" si="3"/>
        <v>1.7529999999999999</v>
      </c>
      <c r="J7" s="154">
        <f t="shared" si="4"/>
        <v>-2194.9</v>
      </c>
      <c r="K7" s="153">
        <f t="shared" si="5"/>
        <v>0.996</v>
      </c>
      <c r="L7" s="190">
        <f t="shared" ref="L7:L66" si="8">G7-F7</f>
        <v>76306.100000000006</v>
      </c>
      <c r="M7" s="17"/>
    </row>
    <row r="8" spans="1:13" s="10" customFormat="1" x14ac:dyDescent="0.2">
      <c r="A8" s="32" t="s">
        <v>28</v>
      </c>
      <c r="B8" s="33" t="s">
        <v>29</v>
      </c>
      <c r="C8" s="91">
        <f>SUM(C9)</f>
        <v>307692.90000000002</v>
      </c>
      <c r="D8" s="91">
        <f t="shared" ref="D8:G8" si="9">SUM(D9)</f>
        <v>323692.79999999999</v>
      </c>
      <c r="E8" s="91">
        <f t="shared" si="9"/>
        <v>201497</v>
      </c>
      <c r="F8" s="91">
        <f t="shared" si="9"/>
        <v>293719.5</v>
      </c>
      <c r="G8" s="91">
        <f t="shared" si="9"/>
        <v>323305.2</v>
      </c>
      <c r="H8" s="164">
        <f t="shared" si="2"/>
        <v>0.214</v>
      </c>
      <c r="I8" s="153">
        <f t="shared" si="3"/>
        <v>1.605</v>
      </c>
      <c r="J8" s="154">
        <f t="shared" si="4"/>
        <v>-387.6</v>
      </c>
      <c r="K8" s="153">
        <f t="shared" si="5"/>
        <v>0.999</v>
      </c>
      <c r="L8" s="190">
        <f t="shared" si="8"/>
        <v>29585.7</v>
      </c>
      <c r="M8" s="17"/>
    </row>
    <row r="9" spans="1:13" s="10" customFormat="1" x14ac:dyDescent="0.2">
      <c r="A9" s="32" t="s">
        <v>30</v>
      </c>
      <c r="B9" s="72" t="s">
        <v>12</v>
      </c>
      <c r="C9" s="91">
        <f>C10</f>
        <v>307692.90000000002</v>
      </c>
      <c r="D9" s="91">
        <f t="shared" ref="D9:G9" si="10">D10</f>
        <v>323692.79999999999</v>
      </c>
      <c r="E9" s="91">
        <f t="shared" si="10"/>
        <v>201497</v>
      </c>
      <c r="F9" s="91">
        <f t="shared" si="10"/>
        <v>293719.5</v>
      </c>
      <c r="G9" s="91">
        <f t="shared" si="10"/>
        <v>323305.2</v>
      </c>
      <c r="H9" s="164">
        <f t="shared" si="2"/>
        <v>0.214</v>
      </c>
      <c r="I9" s="153">
        <f t="shared" si="3"/>
        <v>1.605</v>
      </c>
      <c r="J9" s="154">
        <f t="shared" si="4"/>
        <v>-387.6</v>
      </c>
      <c r="K9" s="153">
        <f t="shared" si="5"/>
        <v>0.999</v>
      </c>
      <c r="L9" s="190">
        <f t="shared" si="8"/>
        <v>29585.7</v>
      </c>
      <c r="M9" s="17"/>
    </row>
    <row r="10" spans="1:13" s="10" customFormat="1" ht="72.75" customHeight="1" x14ac:dyDescent="0.2">
      <c r="A10" s="34" t="s">
        <v>115</v>
      </c>
      <c r="B10" s="36" t="s">
        <v>124</v>
      </c>
      <c r="C10" s="109">
        <v>307692.90000000002</v>
      </c>
      <c r="D10" s="82">
        <v>323692.79999999999</v>
      </c>
      <c r="E10" s="82">
        <v>201497</v>
      </c>
      <c r="F10" s="109">
        <v>293719.5</v>
      </c>
      <c r="G10" s="109">
        <v>323305.2</v>
      </c>
      <c r="H10" s="158">
        <f t="shared" si="2"/>
        <v>0.214</v>
      </c>
      <c r="I10" s="153">
        <f t="shared" si="3"/>
        <v>1.605</v>
      </c>
      <c r="J10" s="191">
        <f t="shared" si="4"/>
        <v>-387.6</v>
      </c>
      <c r="K10" s="153">
        <f t="shared" si="5"/>
        <v>0.999</v>
      </c>
      <c r="L10" s="190">
        <f t="shared" si="8"/>
        <v>29585.7</v>
      </c>
      <c r="M10" s="17"/>
    </row>
    <row r="11" spans="1:13" s="10" customFormat="1" ht="27" x14ac:dyDescent="0.2">
      <c r="A11" s="32" t="s">
        <v>143</v>
      </c>
      <c r="B11" s="39" t="s">
        <v>147</v>
      </c>
      <c r="C11" s="91">
        <f>C12</f>
        <v>23391</v>
      </c>
      <c r="D11" s="91">
        <f t="shared" ref="D11:G11" si="11">D12</f>
        <v>23391</v>
      </c>
      <c r="E11" s="91">
        <f t="shared" si="11"/>
        <v>16694.7</v>
      </c>
      <c r="F11" s="91">
        <f t="shared" si="11"/>
        <v>22455.9</v>
      </c>
      <c r="G11" s="91">
        <f t="shared" si="11"/>
        <v>20888.099999999999</v>
      </c>
      <c r="H11" s="165">
        <f t="shared" si="2"/>
        <v>1.4E-2</v>
      </c>
      <c r="I11" s="153">
        <f t="shared" si="3"/>
        <v>1.2509999999999999</v>
      </c>
      <c r="J11" s="191">
        <f t="shared" si="4"/>
        <v>-2502.9</v>
      </c>
      <c r="K11" s="153">
        <f t="shared" si="5"/>
        <v>0.89300000000000002</v>
      </c>
      <c r="L11" s="190">
        <f t="shared" si="8"/>
        <v>-1567.8</v>
      </c>
      <c r="M11" s="17"/>
    </row>
    <row r="12" spans="1:13" s="10" customFormat="1" ht="27" x14ac:dyDescent="0.2">
      <c r="A12" s="34" t="s">
        <v>164</v>
      </c>
      <c r="B12" s="106" t="s">
        <v>148</v>
      </c>
      <c r="C12" s="109">
        <v>23391</v>
      </c>
      <c r="D12" s="82">
        <v>23391</v>
      </c>
      <c r="E12" s="82">
        <v>16694.7</v>
      </c>
      <c r="F12" s="82">
        <v>22455.9</v>
      </c>
      <c r="G12" s="82">
        <v>20888.099999999999</v>
      </c>
      <c r="H12" s="158">
        <f t="shared" si="2"/>
        <v>1.4E-2</v>
      </c>
      <c r="I12" s="153">
        <f t="shared" si="3"/>
        <v>1.2509999999999999</v>
      </c>
      <c r="J12" s="191">
        <f t="shared" si="4"/>
        <v>-2502.9</v>
      </c>
      <c r="K12" s="153">
        <f t="shared" si="5"/>
        <v>0.89300000000000002</v>
      </c>
      <c r="L12" s="190">
        <f t="shared" si="8"/>
        <v>-1567.8</v>
      </c>
      <c r="M12" s="17"/>
    </row>
    <row r="13" spans="1:13" s="16" customFormat="1" x14ac:dyDescent="0.2">
      <c r="A13" s="32" t="s">
        <v>84</v>
      </c>
      <c r="B13" s="39" t="s">
        <v>13</v>
      </c>
      <c r="C13" s="91">
        <f>SUM(C14)</f>
        <v>6285</v>
      </c>
      <c r="D13" s="91">
        <f t="shared" ref="D13:G13" si="12">SUM(D14)</f>
        <v>5665</v>
      </c>
      <c r="E13" s="91">
        <f t="shared" si="12"/>
        <v>5052</v>
      </c>
      <c r="F13" s="91">
        <f t="shared" si="12"/>
        <v>7097.4</v>
      </c>
      <c r="G13" s="91">
        <f t="shared" si="12"/>
        <v>5648.7</v>
      </c>
      <c r="H13" s="164">
        <f t="shared" si="2"/>
        <v>4.0000000000000001E-3</v>
      </c>
      <c r="I13" s="153">
        <f t="shared" si="3"/>
        <v>1.1180000000000001</v>
      </c>
      <c r="J13" s="154">
        <f t="shared" si="4"/>
        <v>-16.3</v>
      </c>
      <c r="K13" s="153">
        <f t="shared" si="5"/>
        <v>0.997</v>
      </c>
      <c r="L13" s="190">
        <f t="shared" si="8"/>
        <v>-1448.7</v>
      </c>
      <c r="M13" s="18"/>
    </row>
    <row r="14" spans="1:13" s="16" customFormat="1" x14ac:dyDescent="0.2">
      <c r="A14" s="32" t="s">
        <v>31</v>
      </c>
      <c r="B14" s="33" t="s">
        <v>0</v>
      </c>
      <c r="C14" s="91">
        <f>C15</f>
        <v>6285</v>
      </c>
      <c r="D14" s="91">
        <f t="shared" ref="D14:G14" si="13">D15</f>
        <v>5665</v>
      </c>
      <c r="E14" s="91">
        <f t="shared" si="13"/>
        <v>5052</v>
      </c>
      <c r="F14" s="91">
        <f t="shared" si="13"/>
        <v>7097.4</v>
      </c>
      <c r="G14" s="91">
        <f t="shared" si="13"/>
        <v>5648.7</v>
      </c>
      <c r="H14" s="164">
        <f t="shared" si="2"/>
        <v>4.0000000000000001E-3</v>
      </c>
      <c r="I14" s="153">
        <f t="shared" si="3"/>
        <v>1.1180000000000001</v>
      </c>
      <c r="J14" s="154">
        <f t="shared" si="4"/>
        <v>-16.3</v>
      </c>
      <c r="K14" s="153">
        <f t="shared" si="5"/>
        <v>0.997</v>
      </c>
      <c r="L14" s="190">
        <f t="shared" si="8"/>
        <v>-1448.7</v>
      </c>
      <c r="M14" s="18"/>
    </row>
    <row r="15" spans="1:13" s="16" customFormat="1" x14ac:dyDescent="0.2">
      <c r="A15" s="34" t="s">
        <v>72</v>
      </c>
      <c r="B15" s="36" t="s">
        <v>0</v>
      </c>
      <c r="C15" s="110">
        <v>6285</v>
      </c>
      <c r="D15" s="22">
        <v>5665</v>
      </c>
      <c r="E15" s="22">
        <v>5052</v>
      </c>
      <c r="F15" s="22">
        <v>7097.4</v>
      </c>
      <c r="G15" s="22">
        <v>5648.7</v>
      </c>
      <c r="H15" s="158">
        <f t="shared" si="2"/>
        <v>4.0000000000000001E-3</v>
      </c>
      <c r="I15" s="153">
        <f t="shared" si="3"/>
        <v>1.1180000000000001</v>
      </c>
      <c r="J15" s="191">
        <f t="shared" si="4"/>
        <v>-16.3</v>
      </c>
      <c r="K15" s="153">
        <f t="shared" si="5"/>
        <v>0.997</v>
      </c>
      <c r="L15" s="190">
        <f t="shared" si="8"/>
        <v>-1448.7</v>
      </c>
      <c r="M15" s="18"/>
    </row>
    <row r="16" spans="1:13" s="16" customFormat="1" x14ac:dyDescent="0.2">
      <c r="A16" s="32" t="s">
        <v>85</v>
      </c>
      <c r="B16" s="33" t="s">
        <v>14</v>
      </c>
      <c r="C16" s="91">
        <f>SUM(C17+C19)</f>
        <v>215827.7</v>
      </c>
      <c r="D16" s="91">
        <f t="shared" ref="D16:G16" si="14">SUM(D17+D19)</f>
        <v>250627.7</v>
      </c>
      <c r="E16" s="91">
        <f t="shared" si="14"/>
        <v>119790.7</v>
      </c>
      <c r="F16" s="91">
        <f t="shared" ref="F16" si="15">SUM(F17+F19)</f>
        <v>201602.7</v>
      </c>
      <c r="G16" s="91">
        <f t="shared" si="14"/>
        <v>251339.6</v>
      </c>
      <c r="H16" s="164">
        <f t="shared" si="2"/>
        <v>0.16700000000000001</v>
      </c>
      <c r="I16" s="153">
        <f t="shared" si="3"/>
        <v>2.0979999999999999</v>
      </c>
      <c r="J16" s="154">
        <f t="shared" si="4"/>
        <v>711.9</v>
      </c>
      <c r="K16" s="153">
        <f t="shared" si="5"/>
        <v>1.0029999999999999</v>
      </c>
      <c r="L16" s="190">
        <f t="shared" si="8"/>
        <v>49736.9</v>
      </c>
      <c r="M16" s="18"/>
    </row>
    <row r="17" spans="1:13" s="20" customFormat="1" x14ac:dyDescent="0.2">
      <c r="A17" s="32" t="s">
        <v>34</v>
      </c>
      <c r="B17" s="33" t="s">
        <v>33</v>
      </c>
      <c r="C17" s="91">
        <f>C18</f>
        <v>107647.7</v>
      </c>
      <c r="D17" s="91">
        <f t="shared" ref="D17:G17" si="16">D18</f>
        <v>96647.7</v>
      </c>
      <c r="E17" s="91">
        <f t="shared" si="16"/>
        <v>43400</v>
      </c>
      <c r="F17" s="91">
        <f t="shared" si="16"/>
        <v>103091.4</v>
      </c>
      <c r="G17" s="91">
        <f t="shared" si="16"/>
        <v>96757.4</v>
      </c>
      <c r="H17" s="164">
        <f t="shared" si="2"/>
        <v>6.4000000000000001E-2</v>
      </c>
      <c r="I17" s="153">
        <f t="shared" si="3"/>
        <v>2.2290000000000001</v>
      </c>
      <c r="J17" s="154">
        <f t="shared" si="4"/>
        <v>109.7</v>
      </c>
      <c r="K17" s="153">
        <f t="shared" si="5"/>
        <v>1.0009999999999999</v>
      </c>
      <c r="L17" s="190">
        <f t="shared" si="8"/>
        <v>-6334</v>
      </c>
      <c r="M17" s="19"/>
    </row>
    <row r="18" spans="1:13" s="16" customFormat="1" ht="40.5" x14ac:dyDescent="0.2">
      <c r="A18" s="34" t="s">
        <v>165</v>
      </c>
      <c r="B18" s="36" t="s">
        <v>35</v>
      </c>
      <c r="C18" s="180">
        <v>107647.7</v>
      </c>
      <c r="D18" s="48">
        <v>96647.7</v>
      </c>
      <c r="E18" s="48">
        <v>43400</v>
      </c>
      <c r="F18" s="48">
        <v>103091.4</v>
      </c>
      <c r="G18" s="48">
        <v>96757.4</v>
      </c>
      <c r="H18" s="158">
        <f t="shared" si="2"/>
        <v>6.4000000000000001E-2</v>
      </c>
      <c r="I18" s="153">
        <f t="shared" si="3"/>
        <v>2.2290000000000001</v>
      </c>
      <c r="J18" s="191">
        <f t="shared" si="4"/>
        <v>109.7</v>
      </c>
      <c r="K18" s="153">
        <f t="shared" si="5"/>
        <v>1.0009999999999999</v>
      </c>
      <c r="L18" s="190">
        <f t="shared" si="8"/>
        <v>-6334</v>
      </c>
      <c r="M18" s="18"/>
    </row>
    <row r="19" spans="1:13" s="20" customFormat="1" x14ac:dyDescent="0.2">
      <c r="A19" s="32" t="s">
        <v>32</v>
      </c>
      <c r="B19" s="33" t="s">
        <v>15</v>
      </c>
      <c r="C19" s="91">
        <f>SUM(C20:C21)</f>
        <v>108180</v>
      </c>
      <c r="D19" s="91">
        <f t="shared" ref="D19:G19" si="17">SUM(D20:D21)</f>
        <v>153980</v>
      </c>
      <c r="E19" s="91">
        <f t="shared" si="17"/>
        <v>76390.7</v>
      </c>
      <c r="F19" s="91">
        <f t="shared" ref="F19" si="18">SUM(F20:F21)</f>
        <v>98511.3</v>
      </c>
      <c r="G19" s="91">
        <f t="shared" si="17"/>
        <v>154582.20000000001</v>
      </c>
      <c r="H19" s="164">
        <f t="shared" si="2"/>
        <v>0.10199999999999999</v>
      </c>
      <c r="I19" s="153">
        <f t="shared" si="3"/>
        <v>2.024</v>
      </c>
      <c r="J19" s="154">
        <f t="shared" si="4"/>
        <v>602.20000000000005</v>
      </c>
      <c r="K19" s="153">
        <f t="shared" si="5"/>
        <v>1.004</v>
      </c>
      <c r="L19" s="190">
        <f t="shared" si="8"/>
        <v>56070.9</v>
      </c>
      <c r="M19" s="19"/>
    </row>
    <row r="20" spans="1:13" s="20" customFormat="1" x14ac:dyDescent="0.2">
      <c r="A20" s="107" t="s">
        <v>166</v>
      </c>
      <c r="B20" s="36" t="s">
        <v>162</v>
      </c>
      <c r="C20" s="180">
        <v>53900</v>
      </c>
      <c r="D20" s="48">
        <v>90400</v>
      </c>
      <c r="E20" s="180">
        <v>54700</v>
      </c>
      <c r="F20" s="48">
        <v>39320.800000000003</v>
      </c>
      <c r="G20" s="180">
        <v>90591.6</v>
      </c>
      <c r="H20" s="158">
        <f t="shared" si="2"/>
        <v>0.06</v>
      </c>
      <c r="I20" s="153">
        <f t="shared" si="3"/>
        <v>1.6559999999999999</v>
      </c>
      <c r="J20" s="191">
        <f t="shared" si="4"/>
        <v>191.6</v>
      </c>
      <c r="K20" s="153">
        <f t="shared" si="5"/>
        <v>1.002</v>
      </c>
      <c r="L20" s="190">
        <f t="shared" si="8"/>
        <v>51270.8</v>
      </c>
      <c r="M20" s="19"/>
    </row>
    <row r="21" spans="1:13" s="16" customFormat="1" x14ac:dyDescent="0.2">
      <c r="A21" s="107" t="s">
        <v>167</v>
      </c>
      <c r="B21" s="36" t="s">
        <v>163</v>
      </c>
      <c r="C21" s="180">
        <v>54280</v>
      </c>
      <c r="D21" s="48">
        <v>63580</v>
      </c>
      <c r="E21" s="180">
        <v>21690.7</v>
      </c>
      <c r="F21" s="48">
        <v>59190.5</v>
      </c>
      <c r="G21" s="180">
        <v>63990.6</v>
      </c>
      <c r="H21" s="158">
        <f t="shared" si="2"/>
        <v>4.2000000000000003E-2</v>
      </c>
      <c r="I21" s="153">
        <f t="shared" si="3"/>
        <v>2.95</v>
      </c>
      <c r="J21" s="191">
        <f t="shared" si="4"/>
        <v>410.6</v>
      </c>
      <c r="K21" s="153">
        <f t="shared" si="5"/>
        <v>1.006</v>
      </c>
      <c r="L21" s="190">
        <f t="shared" si="8"/>
        <v>4800.1000000000004</v>
      </c>
      <c r="M21" s="18"/>
    </row>
    <row r="22" spans="1:13" s="20" customFormat="1" x14ac:dyDescent="0.2">
      <c r="A22" s="32"/>
      <c r="B22" s="33" t="s">
        <v>16</v>
      </c>
      <c r="C22" s="91">
        <f>C23+C29+C30+C31+C40+C36</f>
        <v>90833.8</v>
      </c>
      <c r="D22" s="91">
        <f t="shared" ref="D22:F22" si="19">D23+D29+D30+D31+D40+D36</f>
        <v>97407.8</v>
      </c>
      <c r="E22" s="91">
        <f t="shared" si="19"/>
        <v>158699.6</v>
      </c>
      <c r="F22" s="91">
        <f t="shared" si="19"/>
        <v>183098.9</v>
      </c>
      <c r="G22" s="91">
        <f>G23+G29+G30+G31+G40+G36</f>
        <v>97650.3</v>
      </c>
      <c r="H22" s="164">
        <f t="shared" si="2"/>
        <v>6.5000000000000002E-2</v>
      </c>
      <c r="I22" s="153">
        <f t="shared" si="3"/>
        <v>0.61499999999999999</v>
      </c>
      <c r="J22" s="154">
        <f t="shared" si="4"/>
        <v>242.5</v>
      </c>
      <c r="K22" s="153">
        <f t="shared" si="5"/>
        <v>1.002</v>
      </c>
      <c r="L22" s="190">
        <f t="shared" si="8"/>
        <v>-85448.6</v>
      </c>
      <c r="M22" s="19"/>
    </row>
    <row r="23" spans="1:13" s="16" customFormat="1" ht="40.5" x14ac:dyDescent="0.2">
      <c r="A23" s="32" t="s">
        <v>37</v>
      </c>
      <c r="B23" s="33" t="s">
        <v>1</v>
      </c>
      <c r="C23" s="101">
        <f>SUM(C24:C28)</f>
        <v>83230.8</v>
      </c>
      <c r="D23" s="101">
        <f t="shared" ref="D23:G23" si="20">SUM(D24:D28)</f>
        <v>75106.3</v>
      </c>
      <c r="E23" s="101">
        <f t="shared" si="20"/>
        <v>149271</v>
      </c>
      <c r="F23" s="101">
        <f t="shared" ref="F23" si="21">SUM(F24:F28)</f>
        <v>169692.6</v>
      </c>
      <c r="G23" s="101">
        <f t="shared" si="20"/>
        <v>75123.100000000006</v>
      </c>
      <c r="H23" s="164">
        <f t="shared" si="2"/>
        <v>0.05</v>
      </c>
      <c r="I23" s="153">
        <f t="shared" si="3"/>
        <v>0.503</v>
      </c>
      <c r="J23" s="154">
        <f t="shared" si="4"/>
        <v>16.8</v>
      </c>
      <c r="K23" s="153">
        <f t="shared" si="5"/>
        <v>1</v>
      </c>
      <c r="L23" s="190">
        <f t="shared" si="8"/>
        <v>-94569.5</v>
      </c>
      <c r="M23" s="18"/>
    </row>
    <row r="24" spans="1:13" s="16" customFormat="1" ht="81" x14ac:dyDescent="0.2">
      <c r="A24" s="34" t="s">
        <v>230</v>
      </c>
      <c r="B24" s="36" t="s">
        <v>39</v>
      </c>
      <c r="C24" s="180">
        <v>66213</v>
      </c>
      <c r="D24" s="22">
        <v>55813</v>
      </c>
      <c r="E24" s="22">
        <v>41822</v>
      </c>
      <c r="F24" s="48">
        <v>58610.400000000001</v>
      </c>
      <c r="G24" s="48">
        <v>55835.6</v>
      </c>
      <c r="H24" s="158">
        <f t="shared" si="2"/>
        <v>3.6999999999999998E-2</v>
      </c>
      <c r="I24" s="153">
        <f t="shared" si="3"/>
        <v>1.335</v>
      </c>
      <c r="J24" s="191">
        <f t="shared" si="4"/>
        <v>22.6</v>
      </c>
      <c r="K24" s="153">
        <f t="shared" si="5"/>
        <v>1</v>
      </c>
      <c r="L24" s="190">
        <f t="shared" si="8"/>
        <v>-2774.8</v>
      </c>
      <c r="M24" s="18"/>
    </row>
    <row r="25" spans="1:13" s="16" customFormat="1" ht="94.5" x14ac:dyDescent="0.2">
      <c r="A25" s="34" t="s">
        <v>231</v>
      </c>
      <c r="B25" s="36" t="s">
        <v>232</v>
      </c>
      <c r="C25" s="180">
        <v>7846.2</v>
      </c>
      <c r="D25" s="22">
        <v>8396.2000000000007</v>
      </c>
      <c r="E25" s="22">
        <v>100000</v>
      </c>
      <c r="F25" s="48">
        <v>100000</v>
      </c>
      <c r="G25" s="48">
        <v>8382</v>
      </c>
      <c r="H25" s="158">
        <f t="shared" si="2"/>
        <v>6.0000000000000001E-3</v>
      </c>
      <c r="I25" s="153">
        <f t="shared" si="3"/>
        <v>8.4000000000000005E-2</v>
      </c>
      <c r="J25" s="191">
        <f t="shared" si="4"/>
        <v>-14.2</v>
      </c>
      <c r="K25" s="153">
        <f t="shared" si="5"/>
        <v>0.998</v>
      </c>
      <c r="L25" s="190">
        <f t="shared" si="8"/>
        <v>-91618</v>
      </c>
      <c r="M25" s="18"/>
    </row>
    <row r="26" spans="1:13" s="16" customFormat="1" ht="27" x14ac:dyDescent="0.2">
      <c r="A26" s="107" t="s">
        <v>149</v>
      </c>
      <c r="B26" s="36" t="s">
        <v>130</v>
      </c>
      <c r="C26" s="180">
        <v>2294.1</v>
      </c>
      <c r="D26" s="22">
        <v>2479.1</v>
      </c>
      <c r="E26" s="22">
        <v>1832</v>
      </c>
      <c r="F26" s="48">
        <v>2449.8000000000002</v>
      </c>
      <c r="G26" s="28">
        <v>2470.4</v>
      </c>
      <c r="H26" s="158">
        <f t="shared" si="2"/>
        <v>2E-3</v>
      </c>
      <c r="I26" s="153">
        <f t="shared" si="3"/>
        <v>1.3480000000000001</v>
      </c>
      <c r="J26" s="191">
        <f t="shared" si="4"/>
        <v>-8.6999999999999993</v>
      </c>
      <c r="K26" s="153">
        <f t="shared" si="5"/>
        <v>0.996</v>
      </c>
      <c r="L26" s="190">
        <f t="shared" si="8"/>
        <v>20.6</v>
      </c>
      <c r="M26" s="18"/>
    </row>
    <row r="27" spans="1:13" s="16" customFormat="1" ht="54" hidden="1" customHeight="1" x14ac:dyDescent="0.2">
      <c r="A27" s="107" t="s">
        <v>150</v>
      </c>
      <c r="B27" s="36" t="s">
        <v>122</v>
      </c>
      <c r="C27" s="180">
        <v>0</v>
      </c>
      <c r="D27" s="22">
        <v>0</v>
      </c>
      <c r="E27" s="22"/>
      <c r="F27" s="48">
        <v>0</v>
      </c>
      <c r="G27" s="48">
        <v>0</v>
      </c>
      <c r="H27" s="127">
        <f t="shared" si="2"/>
        <v>0</v>
      </c>
      <c r="I27" s="153" t="e">
        <f t="shared" si="3"/>
        <v>#DIV/0!</v>
      </c>
      <c r="J27" s="191">
        <f t="shared" si="4"/>
        <v>0</v>
      </c>
      <c r="K27" s="153" t="e">
        <f t="shared" si="5"/>
        <v>#DIV/0!</v>
      </c>
      <c r="L27" s="190">
        <f t="shared" si="8"/>
        <v>0</v>
      </c>
      <c r="M27" s="18"/>
    </row>
    <row r="28" spans="1:13" s="20" customFormat="1" ht="81" x14ac:dyDescent="0.2">
      <c r="A28" s="108" t="s">
        <v>172</v>
      </c>
      <c r="B28" s="35" t="s">
        <v>73</v>
      </c>
      <c r="C28" s="111">
        <v>6877.5</v>
      </c>
      <c r="D28" s="110">
        <v>8418</v>
      </c>
      <c r="E28" s="110">
        <v>5617</v>
      </c>
      <c r="F28" s="28">
        <v>8632.4</v>
      </c>
      <c r="G28" s="28">
        <v>8435.1</v>
      </c>
      <c r="H28" s="158">
        <f t="shared" si="2"/>
        <v>6.0000000000000001E-3</v>
      </c>
      <c r="I28" s="153">
        <f t="shared" si="3"/>
        <v>1.502</v>
      </c>
      <c r="J28" s="191">
        <f t="shared" si="4"/>
        <v>17.100000000000001</v>
      </c>
      <c r="K28" s="153">
        <f t="shared" si="5"/>
        <v>1.002</v>
      </c>
      <c r="L28" s="190">
        <f t="shared" si="8"/>
        <v>-197.3</v>
      </c>
      <c r="M28" s="19"/>
    </row>
    <row r="29" spans="1:13" s="20" customFormat="1" ht="18" customHeight="1" x14ac:dyDescent="0.2">
      <c r="A29" s="122" t="s">
        <v>260</v>
      </c>
      <c r="B29" s="41" t="s">
        <v>261</v>
      </c>
      <c r="C29" s="221">
        <v>0</v>
      </c>
      <c r="D29" s="221">
        <v>2909.8</v>
      </c>
      <c r="E29" s="221">
        <v>776.2</v>
      </c>
      <c r="F29" s="221">
        <v>789.8</v>
      </c>
      <c r="G29" s="221">
        <v>3081.4</v>
      </c>
      <c r="H29" s="164">
        <f t="shared" si="2"/>
        <v>2E-3</v>
      </c>
      <c r="I29" s="153"/>
      <c r="J29" s="154">
        <f t="shared" si="4"/>
        <v>171.6</v>
      </c>
      <c r="K29" s="153">
        <f t="shared" si="5"/>
        <v>1.0589999999999999</v>
      </c>
      <c r="L29" s="190">
        <f t="shared" si="8"/>
        <v>2291.6</v>
      </c>
      <c r="M29" s="19"/>
    </row>
    <row r="30" spans="1:13" s="20" customFormat="1" ht="18" customHeight="1" x14ac:dyDescent="0.2">
      <c r="A30" s="122" t="s">
        <v>176</v>
      </c>
      <c r="B30" s="41" t="s">
        <v>182</v>
      </c>
      <c r="C30" s="221">
        <v>0</v>
      </c>
      <c r="D30" s="221">
        <v>1960</v>
      </c>
      <c r="E30" s="221">
        <v>2278.5</v>
      </c>
      <c r="F30" s="221">
        <v>2278.5</v>
      </c>
      <c r="G30" s="221">
        <v>1952.2</v>
      </c>
      <c r="H30" s="164">
        <f t="shared" si="2"/>
        <v>1E-3</v>
      </c>
      <c r="I30" s="153">
        <f t="shared" ref="I30:I35" si="22">G30/E30</f>
        <v>0.85699999999999998</v>
      </c>
      <c r="J30" s="154">
        <f t="shared" si="4"/>
        <v>-7.8</v>
      </c>
      <c r="K30" s="153">
        <f t="shared" si="5"/>
        <v>0.996</v>
      </c>
      <c r="L30" s="190">
        <f t="shared" si="8"/>
        <v>-326.3</v>
      </c>
      <c r="M30" s="19"/>
    </row>
    <row r="31" spans="1:13" s="16" customFormat="1" ht="27" x14ac:dyDescent="0.2">
      <c r="A31" s="40" t="s">
        <v>36</v>
      </c>
      <c r="B31" s="41" t="s">
        <v>2</v>
      </c>
      <c r="C31" s="93">
        <f>SUM(C32:C34)</f>
        <v>7603</v>
      </c>
      <c r="D31" s="93">
        <f>SUM(D32:D35)</f>
        <v>15148.9</v>
      </c>
      <c r="E31" s="93">
        <f t="shared" ref="E31" si="23">SUM(E32:E34)</f>
        <v>6373.9</v>
      </c>
      <c r="F31" s="93">
        <f>SUM(F32:F35)</f>
        <v>10173.9</v>
      </c>
      <c r="G31" s="93">
        <f>SUM(G32:G34:G35)</f>
        <v>15109.5</v>
      </c>
      <c r="H31" s="164">
        <f t="shared" si="2"/>
        <v>0.01</v>
      </c>
      <c r="I31" s="153">
        <f t="shared" si="22"/>
        <v>2.371</v>
      </c>
      <c r="J31" s="154">
        <f t="shared" si="4"/>
        <v>-39.4</v>
      </c>
      <c r="K31" s="153">
        <f>G31/D31</f>
        <v>0.997</v>
      </c>
      <c r="L31" s="190">
        <f t="shared" si="8"/>
        <v>4935.6000000000004</v>
      </c>
      <c r="M31" s="18"/>
    </row>
    <row r="32" spans="1:13" s="16" customFormat="1" ht="94.5" x14ac:dyDescent="0.2">
      <c r="A32" s="11" t="s">
        <v>151</v>
      </c>
      <c r="B32" s="35" t="s">
        <v>109</v>
      </c>
      <c r="C32" s="111">
        <v>1228</v>
      </c>
      <c r="D32" s="22">
        <v>993.9</v>
      </c>
      <c r="E32" s="22">
        <v>1205.0999999999999</v>
      </c>
      <c r="F32" s="28">
        <v>1251.7</v>
      </c>
      <c r="G32" s="28">
        <v>992.2</v>
      </c>
      <c r="H32" s="158">
        <f t="shared" si="2"/>
        <v>1E-3</v>
      </c>
      <c r="I32" s="153">
        <f t="shared" si="22"/>
        <v>0.82299999999999995</v>
      </c>
      <c r="J32" s="191">
        <f t="shared" si="4"/>
        <v>-1.7</v>
      </c>
      <c r="K32" s="153">
        <f>G32/D32</f>
        <v>0.998</v>
      </c>
      <c r="L32" s="190">
        <f t="shared" si="8"/>
        <v>-259.5</v>
      </c>
      <c r="M32" s="18"/>
    </row>
    <row r="33" spans="1:13" s="16" customFormat="1" ht="54" x14ac:dyDescent="0.2">
      <c r="A33" s="11" t="s">
        <v>185</v>
      </c>
      <c r="B33" s="35" t="s">
        <v>40</v>
      </c>
      <c r="C33" s="111">
        <v>6375</v>
      </c>
      <c r="D33" s="22">
        <v>13375</v>
      </c>
      <c r="E33" s="22">
        <v>5168.8</v>
      </c>
      <c r="F33" s="28">
        <v>8135.9</v>
      </c>
      <c r="G33" s="28">
        <v>13338.1</v>
      </c>
      <c r="H33" s="158">
        <f t="shared" si="2"/>
        <v>8.9999999999999993E-3</v>
      </c>
      <c r="I33" s="153">
        <f t="shared" si="22"/>
        <v>2.581</v>
      </c>
      <c r="J33" s="191">
        <f t="shared" si="4"/>
        <v>-36.9</v>
      </c>
      <c r="K33" s="153">
        <f>G33/D33</f>
        <v>0.997</v>
      </c>
      <c r="L33" s="190">
        <f t="shared" si="8"/>
        <v>5202.2</v>
      </c>
      <c r="M33" s="18"/>
    </row>
    <row r="34" spans="1:13" s="16" customFormat="1" ht="54" hidden="1" customHeight="1" x14ac:dyDescent="0.2">
      <c r="A34" s="11" t="s">
        <v>152</v>
      </c>
      <c r="B34" s="35" t="s">
        <v>127</v>
      </c>
      <c r="C34" s="92">
        <v>0</v>
      </c>
      <c r="D34" s="22">
        <v>0</v>
      </c>
      <c r="E34" s="22"/>
      <c r="F34" s="28">
        <v>0</v>
      </c>
      <c r="G34" s="28">
        <v>0</v>
      </c>
      <c r="H34" s="158">
        <f t="shared" si="2"/>
        <v>0</v>
      </c>
      <c r="I34" s="153" t="e">
        <f t="shared" si="22"/>
        <v>#DIV/0!</v>
      </c>
      <c r="J34" s="191">
        <f t="shared" si="4"/>
        <v>0</v>
      </c>
      <c r="K34" s="153" t="e">
        <f t="shared" ref="K34:K35" si="24">G34/D34</f>
        <v>#DIV/0!</v>
      </c>
      <c r="L34" s="190">
        <f t="shared" si="8"/>
        <v>0</v>
      </c>
      <c r="M34" s="18"/>
    </row>
    <row r="35" spans="1:13" s="16" customFormat="1" ht="90" customHeight="1" x14ac:dyDescent="0.2">
      <c r="A35" s="11" t="s">
        <v>294</v>
      </c>
      <c r="B35" s="35" t="s">
        <v>295</v>
      </c>
      <c r="C35" s="28">
        <v>0</v>
      </c>
      <c r="D35" s="22">
        <v>780</v>
      </c>
      <c r="E35" s="22"/>
      <c r="F35" s="28">
        <v>786.3</v>
      </c>
      <c r="G35" s="28">
        <v>779.2</v>
      </c>
      <c r="H35" s="158">
        <f>G35/Всего_доходов_2003</f>
        <v>1E-3</v>
      </c>
      <c r="I35" s="153" t="e">
        <f t="shared" si="22"/>
        <v>#DIV/0!</v>
      </c>
      <c r="J35" s="191">
        <f t="shared" si="4"/>
        <v>-0.8</v>
      </c>
      <c r="K35" s="153">
        <f t="shared" si="24"/>
        <v>0.999</v>
      </c>
      <c r="L35" s="190">
        <f t="shared" si="8"/>
        <v>-7.1</v>
      </c>
      <c r="M35" s="18"/>
    </row>
    <row r="36" spans="1:13" s="16" customFormat="1" ht="12.75" customHeight="1" x14ac:dyDescent="0.2">
      <c r="A36" s="37" t="s">
        <v>125</v>
      </c>
      <c r="B36" s="38" t="s">
        <v>126</v>
      </c>
      <c r="C36" s="94">
        <f>SUM(C37:C39)</f>
        <v>0</v>
      </c>
      <c r="D36" s="94">
        <f t="shared" ref="D36:G36" si="25">SUM(D37:D39)</f>
        <v>1811.6</v>
      </c>
      <c r="E36" s="94">
        <f t="shared" si="25"/>
        <v>0</v>
      </c>
      <c r="F36" s="94">
        <f t="shared" ref="F36" si="26">SUM(F37:F39)</f>
        <v>163.4</v>
      </c>
      <c r="G36" s="94">
        <f t="shared" si="25"/>
        <v>1901.6</v>
      </c>
      <c r="H36" s="164">
        <f t="shared" si="2"/>
        <v>1E-3</v>
      </c>
      <c r="I36" s="153">
        <v>0</v>
      </c>
      <c r="J36" s="154">
        <f t="shared" si="4"/>
        <v>90</v>
      </c>
      <c r="K36" s="153">
        <f>G36/D36</f>
        <v>1.05</v>
      </c>
      <c r="L36" s="190">
        <f t="shared" si="8"/>
        <v>1738.2</v>
      </c>
      <c r="M36" s="18"/>
    </row>
    <row r="37" spans="1:13" s="16" customFormat="1" ht="40.5" hidden="1" customHeight="1" x14ac:dyDescent="0.2">
      <c r="A37" s="11" t="s">
        <v>191</v>
      </c>
      <c r="B37" s="35" t="s">
        <v>190</v>
      </c>
      <c r="C37" s="92">
        <v>0</v>
      </c>
      <c r="D37" s="22">
        <v>0</v>
      </c>
      <c r="E37" s="22"/>
      <c r="F37" s="28">
        <v>0</v>
      </c>
      <c r="G37" s="28">
        <v>0</v>
      </c>
      <c r="H37" s="158">
        <f t="shared" si="2"/>
        <v>0</v>
      </c>
      <c r="I37" s="153" t="e">
        <f>G37/E37</f>
        <v>#DIV/0!</v>
      </c>
      <c r="J37" s="191">
        <f t="shared" si="4"/>
        <v>0</v>
      </c>
      <c r="K37" s="153" t="e">
        <f>G37/D37</f>
        <v>#DIV/0!</v>
      </c>
      <c r="L37" s="190">
        <f t="shared" si="8"/>
        <v>0</v>
      </c>
      <c r="M37" s="18"/>
    </row>
    <row r="38" spans="1:13" s="16" customFormat="1" ht="54" x14ac:dyDescent="0.2">
      <c r="A38" s="11" t="s">
        <v>262</v>
      </c>
      <c r="B38" s="35" t="s">
        <v>144</v>
      </c>
      <c r="C38" s="111">
        <v>0</v>
      </c>
      <c r="D38" s="22">
        <v>1811.6</v>
      </c>
      <c r="E38" s="22">
        <v>0</v>
      </c>
      <c r="F38" s="28">
        <v>163.4</v>
      </c>
      <c r="G38" s="28">
        <v>1901.6</v>
      </c>
      <c r="H38" s="158">
        <f t="shared" si="2"/>
        <v>1E-3</v>
      </c>
      <c r="I38" s="153">
        <v>0</v>
      </c>
      <c r="J38" s="191">
        <f t="shared" ref="J38:J66" si="27">G38-D38</f>
        <v>90</v>
      </c>
      <c r="K38" s="153">
        <f t="shared" ref="K38:K42" si="28">G38/D38</f>
        <v>1.05</v>
      </c>
      <c r="L38" s="190">
        <f t="shared" si="8"/>
        <v>1738.2</v>
      </c>
      <c r="M38" s="18"/>
    </row>
    <row r="39" spans="1:13" s="16" customFormat="1" ht="54" hidden="1" customHeight="1" x14ac:dyDescent="0.2">
      <c r="A39" s="11" t="s">
        <v>193</v>
      </c>
      <c r="B39" s="35" t="s">
        <v>192</v>
      </c>
      <c r="C39" s="92">
        <v>0</v>
      </c>
      <c r="D39" s="22">
        <v>0</v>
      </c>
      <c r="E39" s="22"/>
      <c r="F39" s="28">
        <v>0</v>
      </c>
      <c r="G39" s="28">
        <v>0</v>
      </c>
      <c r="H39" s="158">
        <f t="shared" si="2"/>
        <v>0</v>
      </c>
      <c r="I39" s="153" t="e">
        <f>G39/E39</f>
        <v>#DIV/0!</v>
      </c>
      <c r="J39" s="191">
        <f t="shared" si="27"/>
        <v>0</v>
      </c>
      <c r="K39" s="153" t="e">
        <f t="shared" si="28"/>
        <v>#DIV/0!</v>
      </c>
      <c r="L39" s="190">
        <f t="shared" si="8"/>
        <v>0</v>
      </c>
      <c r="M39" s="18"/>
    </row>
    <row r="40" spans="1:13" s="16" customFormat="1" x14ac:dyDescent="0.2">
      <c r="A40" s="37" t="s">
        <v>3</v>
      </c>
      <c r="B40" s="38" t="s">
        <v>5</v>
      </c>
      <c r="C40" s="94">
        <f>SUM(C41:C42)</f>
        <v>0</v>
      </c>
      <c r="D40" s="94">
        <f>SUM(D41:D42)</f>
        <v>471.2</v>
      </c>
      <c r="E40" s="94">
        <f t="shared" ref="E40" si="29">SUM(E41:E42)</f>
        <v>0</v>
      </c>
      <c r="F40" s="94">
        <f t="shared" ref="F40" si="30">SUM(F41:F42)</f>
        <v>0.7</v>
      </c>
      <c r="G40" s="94">
        <f>SUM(G41:G42)</f>
        <v>482.5</v>
      </c>
      <c r="H40" s="164">
        <f t="shared" si="2"/>
        <v>0</v>
      </c>
      <c r="I40" s="153">
        <v>0</v>
      </c>
      <c r="J40" s="154">
        <f t="shared" si="27"/>
        <v>11.3</v>
      </c>
      <c r="K40" s="153">
        <f t="shared" si="28"/>
        <v>1.024</v>
      </c>
      <c r="L40" s="190">
        <f t="shared" si="8"/>
        <v>481.8</v>
      </c>
      <c r="M40" s="18"/>
    </row>
    <row r="41" spans="1:13" s="16" customFormat="1" ht="27" x14ac:dyDescent="0.2">
      <c r="A41" s="11" t="s">
        <v>145</v>
      </c>
      <c r="B41" s="35" t="s">
        <v>47</v>
      </c>
      <c r="C41" s="111">
        <v>0</v>
      </c>
      <c r="D41" s="22">
        <v>0</v>
      </c>
      <c r="E41" s="22">
        <v>0</v>
      </c>
      <c r="F41" s="28">
        <v>0.7</v>
      </c>
      <c r="G41" s="28">
        <v>11.3</v>
      </c>
      <c r="H41" s="158">
        <f t="shared" si="2"/>
        <v>0</v>
      </c>
      <c r="I41" s="153">
        <v>0</v>
      </c>
      <c r="J41" s="191">
        <f t="shared" si="27"/>
        <v>11.3</v>
      </c>
      <c r="K41" s="153">
        <v>0</v>
      </c>
      <c r="L41" s="190">
        <f t="shared" si="8"/>
        <v>10.6</v>
      </c>
      <c r="M41" s="18"/>
    </row>
    <row r="42" spans="1:13" s="16" customFormat="1" ht="27" customHeight="1" x14ac:dyDescent="0.2">
      <c r="A42" s="11" t="s">
        <v>304</v>
      </c>
      <c r="B42" s="35" t="s">
        <v>303</v>
      </c>
      <c r="C42" s="28">
        <v>0</v>
      </c>
      <c r="D42" s="22">
        <v>471.2</v>
      </c>
      <c r="E42" s="22"/>
      <c r="F42" s="28">
        <v>0</v>
      </c>
      <c r="G42" s="28">
        <v>471.2</v>
      </c>
      <c r="H42" s="158">
        <f>G42/Всего_доходов_2003</f>
        <v>0</v>
      </c>
      <c r="I42" s="153" t="e">
        <f t="shared" ref="I42:I48" si="31">G42/E42</f>
        <v>#DIV/0!</v>
      </c>
      <c r="J42" s="191">
        <f t="shared" si="27"/>
        <v>0</v>
      </c>
      <c r="K42" s="153">
        <f t="shared" si="28"/>
        <v>1</v>
      </c>
      <c r="L42" s="190">
        <f t="shared" si="8"/>
        <v>471.2</v>
      </c>
      <c r="M42" s="18"/>
    </row>
    <row r="43" spans="1:13" s="16" customFormat="1" x14ac:dyDescent="0.2">
      <c r="A43" s="37" t="s">
        <v>38</v>
      </c>
      <c r="B43" s="42" t="s">
        <v>4</v>
      </c>
      <c r="C43" s="94">
        <f t="shared" ref="C43:G43" si="32">SUM(C44,C46,C53,C60,C63)</f>
        <v>743559.3</v>
      </c>
      <c r="D43" s="94">
        <f t="shared" si="32"/>
        <v>846052.9</v>
      </c>
      <c r="E43" s="94">
        <f t="shared" si="32"/>
        <v>126801.9</v>
      </c>
      <c r="F43" s="94">
        <f t="shared" si="32"/>
        <v>712253.3</v>
      </c>
      <c r="G43" s="94">
        <f t="shared" si="32"/>
        <v>810008.9</v>
      </c>
      <c r="H43" s="164">
        <f>G43/Всего_доходов_2003</f>
        <v>0.53700000000000003</v>
      </c>
      <c r="I43" s="153">
        <f t="shared" si="31"/>
        <v>6.3879999999999999</v>
      </c>
      <c r="J43" s="154">
        <f t="shared" si="27"/>
        <v>-36044</v>
      </c>
      <c r="K43" s="153">
        <f>G43/D43</f>
        <v>0.95699999999999996</v>
      </c>
      <c r="L43" s="190">
        <f t="shared" si="8"/>
        <v>97755.6</v>
      </c>
      <c r="M43" s="18"/>
    </row>
    <row r="44" spans="1:13" s="16" customFormat="1" ht="27" x14ac:dyDescent="0.2">
      <c r="A44" s="43" t="s">
        <v>202</v>
      </c>
      <c r="B44" s="44" t="s">
        <v>168</v>
      </c>
      <c r="C44" s="94">
        <f>C45</f>
        <v>12972.7</v>
      </c>
      <c r="D44" s="94">
        <f t="shared" ref="D44:G44" si="33">D45</f>
        <v>12972.7</v>
      </c>
      <c r="E44" s="94">
        <f t="shared" si="33"/>
        <v>9010.9</v>
      </c>
      <c r="F44" s="94">
        <f t="shared" si="33"/>
        <v>12375</v>
      </c>
      <c r="G44" s="94">
        <f t="shared" si="33"/>
        <v>12972.7</v>
      </c>
      <c r="H44" s="164">
        <f>G44/Всего_доходов_2003</f>
        <v>8.9999999999999993E-3</v>
      </c>
      <c r="I44" s="153">
        <f t="shared" si="31"/>
        <v>1.44</v>
      </c>
      <c r="J44" s="154">
        <f t="shared" si="27"/>
        <v>0</v>
      </c>
      <c r="K44" s="153">
        <f>G44/D44</f>
        <v>1</v>
      </c>
      <c r="L44" s="190">
        <f t="shared" si="8"/>
        <v>597.70000000000005</v>
      </c>
      <c r="M44" s="18"/>
    </row>
    <row r="45" spans="1:13" s="16" customFormat="1" ht="27" x14ac:dyDescent="0.2">
      <c r="A45" s="45" t="s">
        <v>311</v>
      </c>
      <c r="B45" s="46" t="s">
        <v>169</v>
      </c>
      <c r="C45" s="111">
        <v>12972.7</v>
      </c>
      <c r="D45" s="111">
        <v>12972.7</v>
      </c>
      <c r="E45" s="28">
        <v>9010.9</v>
      </c>
      <c r="F45" s="28">
        <v>12375</v>
      </c>
      <c r="G45" s="28">
        <v>12972.7</v>
      </c>
      <c r="H45" s="158">
        <f>G45/Всего_доходов_2003</f>
        <v>8.9999999999999993E-3</v>
      </c>
      <c r="I45" s="153">
        <f t="shared" si="31"/>
        <v>1.44</v>
      </c>
      <c r="J45" s="191">
        <f t="shared" si="27"/>
        <v>0</v>
      </c>
      <c r="K45" s="153">
        <f>G45/D45</f>
        <v>1</v>
      </c>
      <c r="L45" s="190">
        <f t="shared" si="8"/>
        <v>597.70000000000005</v>
      </c>
      <c r="M45" s="18"/>
    </row>
    <row r="46" spans="1:13" s="16" customFormat="1" ht="40.5" customHeight="1" x14ac:dyDescent="0.2">
      <c r="A46" s="47" t="s">
        <v>208</v>
      </c>
      <c r="B46" s="42" t="s">
        <v>110</v>
      </c>
      <c r="C46" s="94">
        <f>SUM(C47:C51)</f>
        <v>111019.4</v>
      </c>
      <c r="D46" s="94">
        <f>SUM(D47:D51:D52)</f>
        <v>211019.5</v>
      </c>
      <c r="E46" s="94">
        <f>SUM(E47:E51)</f>
        <v>106243.5</v>
      </c>
      <c r="F46" s="94">
        <f>SUM(F47:F51)</f>
        <v>277211.8</v>
      </c>
      <c r="G46" s="94">
        <f>SUM(G47:G52)</f>
        <v>174975.5</v>
      </c>
      <c r="H46" s="164">
        <f>G46/Всего_доходов_2003</f>
        <v>0.11600000000000001</v>
      </c>
      <c r="I46" s="153">
        <f t="shared" si="31"/>
        <v>1.647</v>
      </c>
      <c r="J46" s="154">
        <f t="shared" si="27"/>
        <v>-36044</v>
      </c>
      <c r="K46" s="153">
        <f>G46/D46</f>
        <v>0.82899999999999996</v>
      </c>
      <c r="L46" s="190">
        <f t="shared" si="8"/>
        <v>-102236.3</v>
      </c>
      <c r="M46" s="18"/>
    </row>
    <row r="47" spans="1:13" s="20" customFormat="1" ht="60" customHeight="1" x14ac:dyDescent="0.25">
      <c r="A47" s="84" t="s">
        <v>201</v>
      </c>
      <c r="B47" s="83" t="s">
        <v>187</v>
      </c>
      <c r="C47" s="111">
        <v>96731.5</v>
      </c>
      <c r="D47" s="111">
        <v>96731.5</v>
      </c>
      <c r="E47" s="28">
        <v>67574.3</v>
      </c>
      <c r="F47" s="28">
        <v>89755.3</v>
      </c>
      <c r="G47" s="28">
        <v>96731.5</v>
      </c>
      <c r="H47" s="158">
        <f t="shared" ref="H47:H53" si="34">G47/Всего_доходов_2003</f>
        <v>6.4000000000000001E-2</v>
      </c>
      <c r="I47" s="153">
        <f t="shared" si="31"/>
        <v>1.431</v>
      </c>
      <c r="J47" s="191">
        <f t="shared" si="27"/>
        <v>0</v>
      </c>
      <c r="K47" s="153">
        <f>G47/D47</f>
        <v>1</v>
      </c>
      <c r="L47" s="190">
        <f t="shared" si="8"/>
        <v>6976.2</v>
      </c>
    </row>
    <row r="48" spans="1:13" s="20" customFormat="1" ht="56.25" customHeight="1" x14ac:dyDescent="0.25">
      <c r="A48" s="84" t="s">
        <v>209</v>
      </c>
      <c r="B48" s="83" t="s">
        <v>210</v>
      </c>
      <c r="C48" s="111">
        <v>0</v>
      </c>
      <c r="D48" s="111">
        <v>0</v>
      </c>
      <c r="E48" s="28">
        <v>20909.2</v>
      </c>
      <c r="F48" s="28">
        <v>68721.2</v>
      </c>
      <c r="G48" s="28">
        <v>0</v>
      </c>
      <c r="H48" s="158">
        <f t="shared" si="34"/>
        <v>0</v>
      </c>
      <c r="I48" s="153">
        <f t="shared" si="31"/>
        <v>0</v>
      </c>
      <c r="J48" s="191">
        <f t="shared" si="27"/>
        <v>0</v>
      </c>
      <c r="K48" s="195">
        <v>0</v>
      </c>
      <c r="L48" s="190">
        <f t="shared" si="8"/>
        <v>-68721.2</v>
      </c>
    </row>
    <row r="49" spans="1:16" s="20" customFormat="1" ht="61.5" hidden="1" customHeight="1" x14ac:dyDescent="0.25">
      <c r="A49" s="84" t="s">
        <v>226</v>
      </c>
      <c r="B49" s="83" t="s">
        <v>227</v>
      </c>
      <c r="C49" s="111">
        <v>0</v>
      </c>
      <c r="D49" s="111">
        <v>0</v>
      </c>
      <c r="E49" s="28">
        <v>0</v>
      </c>
      <c r="F49" s="28">
        <v>0</v>
      </c>
      <c r="G49" s="28">
        <v>0</v>
      </c>
      <c r="H49" s="158">
        <f t="shared" si="34"/>
        <v>0</v>
      </c>
      <c r="I49" s="153">
        <v>0</v>
      </c>
      <c r="J49" s="191">
        <f t="shared" si="27"/>
        <v>0</v>
      </c>
      <c r="K49" s="153" t="e">
        <f>G49/D49</f>
        <v>#DIV/0!</v>
      </c>
      <c r="L49" s="190">
        <f t="shared" si="8"/>
        <v>0</v>
      </c>
    </row>
    <row r="50" spans="1:16" s="20" customFormat="1" ht="44.25" customHeight="1" x14ac:dyDescent="0.25">
      <c r="A50" s="84" t="s">
        <v>211</v>
      </c>
      <c r="B50" s="83" t="s">
        <v>212</v>
      </c>
      <c r="C50" s="111">
        <v>14287.9</v>
      </c>
      <c r="D50" s="111">
        <v>14288</v>
      </c>
      <c r="E50" s="28">
        <v>2760</v>
      </c>
      <c r="F50" s="28">
        <v>3735.3</v>
      </c>
      <c r="G50" s="28">
        <v>10629.2</v>
      </c>
      <c r="H50" s="158">
        <f t="shared" si="34"/>
        <v>7.0000000000000001E-3</v>
      </c>
      <c r="I50" s="153">
        <f>G50/E50</f>
        <v>3.851</v>
      </c>
      <c r="J50" s="191">
        <f t="shared" si="27"/>
        <v>-3658.8</v>
      </c>
      <c r="K50" s="195">
        <f>G50/D50</f>
        <v>0.74399999999999999</v>
      </c>
      <c r="L50" s="190">
        <f t="shared" si="8"/>
        <v>6893.9</v>
      </c>
    </row>
    <row r="51" spans="1:16" s="20" customFormat="1" ht="87.75" customHeight="1" x14ac:dyDescent="0.25">
      <c r="A51" s="84" t="s">
        <v>207</v>
      </c>
      <c r="B51" s="83" t="s">
        <v>184</v>
      </c>
      <c r="C51" s="111">
        <v>0</v>
      </c>
      <c r="D51" s="111">
        <v>0</v>
      </c>
      <c r="E51" s="28">
        <v>15000</v>
      </c>
      <c r="F51" s="28">
        <v>115000</v>
      </c>
      <c r="G51" s="28">
        <v>0</v>
      </c>
      <c r="H51" s="158">
        <f t="shared" si="34"/>
        <v>0</v>
      </c>
      <c r="I51" s="153">
        <f>G51/E51</f>
        <v>0</v>
      </c>
      <c r="J51" s="191">
        <f t="shared" si="27"/>
        <v>0</v>
      </c>
      <c r="K51" s="195">
        <v>0</v>
      </c>
      <c r="L51" s="190">
        <f t="shared" si="8"/>
        <v>-115000</v>
      </c>
      <c r="P51" s="20" t="s">
        <v>265</v>
      </c>
    </row>
    <row r="52" spans="1:16" s="20" customFormat="1" ht="94.5" x14ac:dyDescent="0.25">
      <c r="A52" s="84" t="s">
        <v>299</v>
      </c>
      <c r="B52" s="83" t="s">
        <v>300</v>
      </c>
      <c r="C52" s="111">
        <v>0</v>
      </c>
      <c r="D52" s="111">
        <v>100000</v>
      </c>
      <c r="E52" s="28"/>
      <c r="F52" s="28">
        <v>0</v>
      </c>
      <c r="G52" s="28">
        <v>67614.8</v>
      </c>
      <c r="H52" s="158">
        <f t="shared" si="34"/>
        <v>4.4999999999999998E-2</v>
      </c>
      <c r="I52" s="153"/>
      <c r="J52" s="191">
        <f t="shared" si="27"/>
        <v>-32385.200000000001</v>
      </c>
      <c r="K52" s="195">
        <f>G52/D52</f>
        <v>0.67600000000000005</v>
      </c>
      <c r="L52" s="190">
        <f t="shared" si="8"/>
        <v>67614.8</v>
      </c>
    </row>
    <row r="53" spans="1:16" s="20" customFormat="1" ht="13.5" customHeight="1" x14ac:dyDescent="0.25">
      <c r="A53" s="102" t="s">
        <v>200</v>
      </c>
      <c r="B53" s="103" t="s">
        <v>173</v>
      </c>
      <c r="C53" s="95">
        <f>SUM(C54:C59)</f>
        <v>619567.19999999995</v>
      </c>
      <c r="D53" s="95">
        <f t="shared" ref="D53:G53" si="35">SUM(D54:D59)</f>
        <v>622197.69999999995</v>
      </c>
      <c r="E53" s="95">
        <f t="shared" si="35"/>
        <v>10500.2</v>
      </c>
      <c r="F53" s="95">
        <f t="shared" si="35"/>
        <v>421619.1</v>
      </c>
      <c r="G53" s="95">
        <f t="shared" si="35"/>
        <v>622197.69999999995</v>
      </c>
      <c r="H53" s="164">
        <f t="shared" si="34"/>
        <v>0.41199999999999998</v>
      </c>
      <c r="I53" s="153">
        <f>G53/E53</f>
        <v>59.256</v>
      </c>
      <c r="J53" s="154">
        <f t="shared" si="27"/>
        <v>0</v>
      </c>
      <c r="K53" s="153">
        <f>G53/D53</f>
        <v>1</v>
      </c>
      <c r="L53" s="190">
        <f t="shared" si="8"/>
        <v>200578.6</v>
      </c>
    </row>
    <row r="54" spans="1:16" s="20" customFormat="1" ht="73.5" customHeight="1" x14ac:dyDescent="0.25">
      <c r="A54" s="84" t="s">
        <v>312</v>
      </c>
      <c r="B54" s="83" t="s">
        <v>266</v>
      </c>
      <c r="C54" s="111">
        <v>599900</v>
      </c>
      <c r="D54" s="111">
        <v>599900</v>
      </c>
      <c r="E54" s="111"/>
      <c r="F54" s="111">
        <v>299900</v>
      </c>
      <c r="G54" s="111">
        <v>599900</v>
      </c>
      <c r="H54" s="135">
        <f t="shared" ref="H54:H66" si="36">G54/Всего_доходов_2003</f>
        <v>0.39800000000000002</v>
      </c>
      <c r="I54" s="195"/>
      <c r="J54" s="191">
        <f t="shared" si="27"/>
        <v>0</v>
      </c>
      <c r="K54" s="195">
        <f>G54/D54</f>
        <v>1</v>
      </c>
      <c r="L54" s="187">
        <f t="shared" ref="L54:L58" si="37">G54-F54</f>
        <v>300000</v>
      </c>
    </row>
    <row r="55" spans="1:16" s="20" customFormat="1" ht="50.25" hidden="1" customHeight="1" x14ac:dyDescent="0.25">
      <c r="A55" s="84" t="s">
        <v>296</v>
      </c>
      <c r="B55" s="121" t="s">
        <v>186</v>
      </c>
      <c r="C55" s="111">
        <v>0</v>
      </c>
      <c r="D55" s="111">
        <v>0</v>
      </c>
      <c r="E55" s="111"/>
      <c r="F55" s="111">
        <v>0</v>
      </c>
      <c r="G55" s="111">
        <v>0</v>
      </c>
      <c r="H55" s="135">
        <f t="shared" ref="H55" si="38">G55/Всего_доходов_2003</f>
        <v>0</v>
      </c>
      <c r="I55" s="195"/>
      <c r="J55" s="191">
        <f t="shared" si="27"/>
        <v>0</v>
      </c>
      <c r="K55" s="195">
        <v>0</v>
      </c>
      <c r="L55" s="187">
        <f t="shared" ref="L55" si="39">G55-F55</f>
        <v>0</v>
      </c>
    </row>
    <row r="56" spans="1:16" s="20" customFormat="1" ht="46.5" customHeight="1" x14ac:dyDescent="0.25">
      <c r="A56" s="84" t="s">
        <v>263</v>
      </c>
      <c r="B56" s="121" t="s">
        <v>186</v>
      </c>
      <c r="C56" s="111">
        <v>0</v>
      </c>
      <c r="D56" s="111">
        <v>0</v>
      </c>
      <c r="E56" s="111"/>
      <c r="F56" s="111">
        <v>104315.1</v>
      </c>
      <c r="G56" s="111">
        <v>0</v>
      </c>
      <c r="H56" s="135">
        <f t="shared" si="36"/>
        <v>0</v>
      </c>
      <c r="I56" s="195"/>
      <c r="J56" s="191">
        <f t="shared" si="27"/>
        <v>0</v>
      </c>
      <c r="K56" s="195">
        <v>0</v>
      </c>
      <c r="L56" s="187">
        <f t="shared" si="37"/>
        <v>-104315.1</v>
      </c>
    </row>
    <row r="57" spans="1:16" s="20" customFormat="1" ht="204.75" customHeight="1" x14ac:dyDescent="0.25">
      <c r="A57" s="84" t="s">
        <v>264</v>
      </c>
      <c r="B57" s="121" t="s">
        <v>267</v>
      </c>
      <c r="C57" s="111">
        <v>19667.2</v>
      </c>
      <c r="D57" s="111">
        <v>21287.7</v>
      </c>
      <c r="E57" s="28">
        <v>10075.200000000001</v>
      </c>
      <c r="F57" s="28">
        <v>15309.4</v>
      </c>
      <c r="G57" s="28">
        <v>21287.7</v>
      </c>
      <c r="H57" s="135">
        <f t="shared" si="36"/>
        <v>1.4E-2</v>
      </c>
      <c r="I57" s="153">
        <f>G57/E57</f>
        <v>2.113</v>
      </c>
      <c r="J57" s="191">
        <f t="shared" si="27"/>
        <v>0</v>
      </c>
      <c r="K57" s="195">
        <f>G57/D57</f>
        <v>1</v>
      </c>
      <c r="L57" s="187">
        <f t="shared" si="37"/>
        <v>5978.3</v>
      </c>
    </row>
    <row r="58" spans="1:16" s="20" customFormat="1" ht="51.75" customHeight="1" x14ac:dyDescent="0.25">
      <c r="A58" s="84" t="s">
        <v>301</v>
      </c>
      <c r="B58" s="121" t="s">
        <v>302</v>
      </c>
      <c r="C58" s="111">
        <v>0</v>
      </c>
      <c r="D58" s="111">
        <v>1010</v>
      </c>
      <c r="E58" s="28"/>
      <c r="F58" s="28">
        <v>0</v>
      </c>
      <c r="G58" s="28">
        <v>1010</v>
      </c>
      <c r="H58" s="135">
        <f>G58/Всего_доходов_2003</f>
        <v>1E-3</v>
      </c>
      <c r="I58" s="153"/>
      <c r="J58" s="191">
        <f t="shared" si="27"/>
        <v>0</v>
      </c>
      <c r="K58" s="195">
        <f>G58/D58</f>
        <v>1</v>
      </c>
      <c r="L58" s="187">
        <f t="shared" si="37"/>
        <v>1010</v>
      </c>
    </row>
    <row r="59" spans="1:16" s="20" customFormat="1" ht="67.5" customHeight="1" x14ac:dyDescent="0.25">
      <c r="A59" s="84" t="s">
        <v>235</v>
      </c>
      <c r="B59" s="121" t="s">
        <v>234</v>
      </c>
      <c r="C59" s="111">
        <v>0</v>
      </c>
      <c r="D59" s="111">
        <v>0</v>
      </c>
      <c r="E59" s="28">
        <v>425</v>
      </c>
      <c r="F59" s="28">
        <v>2094.6</v>
      </c>
      <c r="G59" s="28">
        <v>0</v>
      </c>
      <c r="H59" s="135">
        <f t="shared" si="36"/>
        <v>0</v>
      </c>
      <c r="I59" s="153">
        <f>G59/E59</f>
        <v>0</v>
      </c>
      <c r="J59" s="191">
        <f t="shared" si="27"/>
        <v>0</v>
      </c>
      <c r="K59" s="195">
        <v>0</v>
      </c>
      <c r="L59" s="187">
        <f t="shared" si="8"/>
        <v>-2094.6</v>
      </c>
    </row>
    <row r="60" spans="1:16" s="16" customFormat="1" x14ac:dyDescent="0.2">
      <c r="A60" s="47" t="s">
        <v>205</v>
      </c>
      <c r="B60" s="42" t="s">
        <v>204</v>
      </c>
      <c r="C60" s="95">
        <f>C61+C62</f>
        <v>0</v>
      </c>
      <c r="D60" s="95">
        <f t="shared" ref="D60:G60" si="40">D61+D62</f>
        <v>-147.4</v>
      </c>
      <c r="E60" s="95">
        <f t="shared" si="40"/>
        <v>1047.3</v>
      </c>
      <c r="F60" s="95">
        <f t="shared" si="40"/>
        <v>1047.4000000000001</v>
      </c>
      <c r="G60" s="95">
        <f t="shared" si="40"/>
        <v>-147.4</v>
      </c>
      <c r="H60" s="95">
        <f t="shared" si="36"/>
        <v>0</v>
      </c>
      <c r="I60" s="153">
        <f>G60/E60</f>
        <v>-0.14099999999999999</v>
      </c>
      <c r="J60" s="154">
        <f t="shared" si="27"/>
        <v>0</v>
      </c>
      <c r="K60" s="153">
        <f>G60/D60</f>
        <v>1</v>
      </c>
      <c r="L60" s="190">
        <f t="shared" si="8"/>
        <v>-1194.8</v>
      </c>
      <c r="M60" s="18"/>
    </row>
    <row r="61" spans="1:16" s="16" customFormat="1" ht="27" x14ac:dyDescent="0.2">
      <c r="A61" s="181" t="s">
        <v>236</v>
      </c>
      <c r="B61" s="182" t="s">
        <v>203</v>
      </c>
      <c r="C61" s="111">
        <v>0</v>
      </c>
      <c r="D61" s="111">
        <v>0</v>
      </c>
      <c r="E61" s="28">
        <v>900</v>
      </c>
      <c r="F61" s="111">
        <v>900</v>
      </c>
      <c r="G61" s="111">
        <v>0</v>
      </c>
      <c r="H61" s="158">
        <f t="shared" si="36"/>
        <v>0</v>
      </c>
      <c r="I61" s="153">
        <f>G61/E61</f>
        <v>0</v>
      </c>
      <c r="J61" s="191">
        <f t="shared" si="27"/>
        <v>0</v>
      </c>
      <c r="K61" s="195">
        <v>0</v>
      </c>
      <c r="L61" s="190">
        <f t="shared" si="8"/>
        <v>-900</v>
      </c>
      <c r="M61" s="18"/>
    </row>
    <row r="62" spans="1:16" s="16" customFormat="1" ht="27" x14ac:dyDescent="0.2">
      <c r="A62" s="181" t="s">
        <v>206</v>
      </c>
      <c r="B62" s="182" t="s">
        <v>203</v>
      </c>
      <c r="C62" s="111">
        <v>0</v>
      </c>
      <c r="D62" s="111">
        <v>-147.4</v>
      </c>
      <c r="E62" s="28">
        <v>147.30000000000001</v>
      </c>
      <c r="F62" s="111">
        <v>147.4</v>
      </c>
      <c r="G62" s="111">
        <v>-147.4</v>
      </c>
      <c r="H62" s="158">
        <f t="shared" si="36"/>
        <v>0</v>
      </c>
      <c r="I62" s="153">
        <f>G62/E62</f>
        <v>-1.0009999999999999</v>
      </c>
      <c r="J62" s="191">
        <f t="shared" si="27"/>
        <v>0</v>
      </c>
      <c r="K62" s="195">
        <f>G62/D62</f>
        <v>1</v>
      </c>
      <c r="L62" s="190">
        <f t="shared" si="8"/>
        <v>-294.8</v>
      </c>
      <c r="M62" s="18"/>
    </row>
    <row r="63" spans="1:16" s="16" customFormat="1" ht="81" x14ac:dyDescent="0.2">
      <c r="A63" s="47" t="s">
        <v>228</v>
      </c>
      <c r="B63" s="42" t="s">
        <v>229</v>
      </c>
      <c r="C63" s="95">
        <f>C65</f>
        <v>0</v>
      </c>
      <c r="D63" s="95">
        <f t="shared" ref="D63:G63" si="41">D65</f>
        <v>10.4</v>
      </c>
      <c r="E63" s="95">
        <f t="shared" si="41"/>
        <v>0</v>
      </c>
      <c r="F63" s="95">
        <f>F64+F65</f>
        <v>0</v>
      </c>
      <c r="G63" s="95">
        <f t="shared" si="41"/>
        <v>10.4</v>
      </c>
      <c r="H63" s="164">
        <f>G63/Всего_доходов_2003</f>
        <v>0</v>
      </c>
      <c r="I63" s="153">
        <v>0</v>
      </c>
      <c r="J63" s="177">
        <f t="shared" si="27"/>
        <v>0</v>
      </c>
      <c r="K63" s="153">
        <f>G63/D63</f>
        <v>1</v>
      </c>
      <c r="L63" s="190">
        <f t="shared" si="8"/>
        <v>10.4</v>
      </c>
      <c r="M63" s="18"/>
    </row>
    <row r="64" spans="1:16" s="16" customFormat="1" ht="39.75" hidden="1" customHeight="1" x14ac:dyDescent="0.2">
      <c r="A64" s="45" t="s">
        <v>297</v>
      </c>
      <c r="B64" s="46" t="s">
        <v>298</v>
      </c>
      <c r="C64" s="28">
        <v>0</v>
      </c>
      <c r="D64" s="28">
        <v>0</v>
      </c>
      <c r="E64" s="28"/>
      <c r="F64" s="28">
        <v>0</v>
      </c>
      <c r="G64" s="28">
        <v>0</v>
      </c>
      <c r="H64" s="135">
        <v>0</v>
      </c>
      <c r="I64" s="153"/>
      <c r="J64" s="177">
        <f t="shared" si="27"/>
        <v>0</v>
      </c>
      <c r="K64" s="153">
        <v>0</v>
      </c>
      <c r="L64" s="190">
        <f t="shared" ref="L64" si="42">G64-F64</f>
        <v>0</v>
      </c>
      <c r="M64" s="18"/>
    </row>
    <row r="65" spans="1:13" s="16" customFormat="1" ht="27" x14ac:dyDescent="0.2">
      <c r="A65" s="45" t="s">
        <v>291</v>
      </c>
      <c r="B65" s="46" t="s">
        <v>292</v>
      </c>
      <c r="C65" s="111">
        <v>0</v>
      </c>
      <c r="D65" s="111">
        <v>10.4</v>
      </c>
      <c r="E65" s="28">
        <v>0</v>
      </c>
      <c r="F65" s="111">
        <v>0</v>
      </c>
      <c r="G65" s="111">
        <v>10.4</v>
      </c>
      <c r="H65" s="158">
        <f>G65/Всего_доходов_2003</f>
        <v>0</v>
      </c>
      <c r="I65" s="153">
        <v>0</v>
      </c>
      <c r="J65" s="176">
        <f t="shared" si="27"/>
        <v>0</v>
      </c>
      <c r="K65" s="153">
        <f>G65/D65</f>
        <v>1</v>
      </c>
      <c r="L65" s="187">
        <f t="shared" si="8"/>
        <v>10.4</v>
      </c>
      <c r="M65" s="18"/>
    </row>
    <row r="66" spans="1:13" s="21" customFormat="1" x14ac:dyDescent="0.2">
      <c r="A66" s="89"/>
      <c r="B66" s="161" t="s">
        <v>6</v>
      </c>
      <c r="C66" s="162">
        <f t="shared" ref="C66:F66" si="43">C6+C43</f>
        <v>1387589.7</v>
      </c>
      <c r="D66" s="162">
        <f t="shared" si="43"/>
        <v>1546837.2</v>
      </c>
      <c r="E66" s="162">
        <f t="shared" si="43"/>
        <v>628535.9</v>
      </c>
      <c r="F66" s="162">
        <f t="shared" si="43"/>
        <v>1420227.7</v>
      </c>
      <c r="G66" s="162">
        <f>G6+G43</f>
        <v>1508840.8</v>
      </c>
      <c r="H66" s="64">
        <f t="shared" si="36"/>
        <v>1</v>
      </c>
      <c r="I66" s="153">
        <f>G66/E66</f>
        <v>2.4009999999999998</v>
      </c>
      <c r="J66" s="154">
        <f t="shared" si="27"/>
        <v>-37996.400000000001</v>
      </c>
      <c r="K66" s="153">
        <f>G66/D66</f>
        <v>0.97499999999999998</v>
      </c>
      <c r="L66" s="190">
        <f t="shared" si="8"/>
        <v>88613.1</v>
      </c>
      <c r="M66" s="183"/>
    </row>
    <row r="67" spans="1:13" s="9" customFormat="1" x14ac:dyDescent="0.2">
      <c r="A67" s="31"/>
      <c r="B67" s="4"/>
      <c r="C67" s="178"/>
      <c r="D67" s="173"/>
      <c r="E67" s="173"/>
      <c r="F67" s="157"/>
      <c r="G67" s="157"/>
      <c r="H67" s="136"/>
      <c r="I67" s="153"/>
      <c r="J67" s="192"/>
      <c r="K67" s="153"/>
      <c r="L67" s="193"/>
    </row>
    <row r="68" spans="1:13" ht="16.5" x14ac:dyDescent="0.2">
      <c r="A68" s="13" t="s">
        <v>9</v>
      </c>
      <c r="B68" s="217" t="s">
        <v>7</v>
      </c>
      <c r="C68" s="4"/>
      <c r="D68" s="173"/>
      <c r="E68" s="173"/>
      <c r="F68" s="90"/>
      <c r="G68" s="90"/>
      <c r="H68" s="137"/>
      <c r="I68" s="153"/>
      <c r="J68" s="185"/>
      <c r="K68" s="153"/>
      <c r="L68" s="194"/>
    </row>
    <row r="69" spans="1:13" s="21" customFormat="1" x14ac:dyDescent="0.2">
      <c r="A69" s="62" t="s">
        <v>20</v>
      </c>
      <c r="B69" s="163" t="s">
        <v>24</v>
      </c>
      <c r="C69" s="63">
        <f>C70+C71+C72+C75+C78+C79</f>
        <v>12799.3</v>
      </c>
      <c r="D69" s="63">
        <f>D70+D71+D72+D75+D78+D79</f>
        <v>15875.9</v>
      </c>
      <c r="E69" s="63">
        <f t="shared" ref="E69" si="44">E70+E71+E72+E75+E78+E79</f>
        <v>101188.6</v>
      </c>
      <c r="F69" s="63">
        <f>F70+F71+F72+F79+F78+F75</f>
        <v>121526.1</v>
      </c>
      <c r="G69" s="63">
        <f>G70+G71+G72+G79+G78</f>
        <v>15859.2</v>
      </c>
      <c r="H69" s="64">
        <f>G69/G231</f>
        <v>1.0999999999999999E-2</v>
      </c>
      <c r="I69" s="153">
        <f>G69/E69</f>
        <v>0.157</v>
      </c>
      <c r="J69" s="154">
        <f>G69-D69</f>
        <v>-16.7</v>
      </c>
      <c r="K69" s="153">
        <f>G69/D69</f>
        <v>0.999</v>
      </c>
      <c r="L69" s="155">
        <f>G69-F69</f>
        <v>-105666.9</v>
      </c>
    </row>
    <row r="70" spans="1:13" ht="40.5" x14ac:dyDescent="0.2">
      <c r="A70" s="12" t="s">
        <v>44</v>
      </c>
      <c r="B70" s="8" t="s">
        <v>52</v>
      </c>
      <c r="C70" s="131">
        <v>1994.9</v>
      </c>
      <c r="D70" s="131">
        <v>1948.5</v>
      </c>
      <c r="E70" s="131">
        <v>1270.4000000000001</v>
      </c>
      <c r="F70" s="5">
        <v>1927</v>
      </c>
      <c r="G70" s="131">
        <v>1946.2</v>
      </c>
      <c r="H70" s="144">
        <f>G70/$G$231</f>
        <v>1E-3</v>
      </c>
      <c r="I70" s="153">
        <f>G70/E70</f>
        <v>1.532</v>
      </c>
      <c r="J70" s="185">
        <f>G70-D70</f>
        <v>-2.2999999999999998</v>
      </c>
      <c r="K70" s="186">
        <f>G70/D70</f>
        <v>0.999</v>
      </c>
      <c r="L70" s="187">
        <f>G70-F70</f>
        <v>19.2</v>
      </c>
    </row>
    <row r="71" spans="1:13" ht="40.5" x14ac:dyDescent="0.2">
      <c r="A71" s="12" t="s">
        <v>45</v>
      </c>
      <c r="B71" s="8" t="s">
        <v>111</v>
      </c>
      <c r="C71" s="131">
        <v>2385.8000000000002</v>
      </c>
      <c r="D71" s="131">
        <v>2342.6999999999998</v>
      </c>
      <c r="E71" s="131">
        <f>2637.3+0.1</f>
        <v>2637.4</v>
      </c>
      <c r="F71" s="5">
        <v>3909.5</v>
      </c>
      <c r="G71" s="131">
        <v>2332.9</v>
      </c>
      <c r="H71" s="144">
        <f>G71/$G$231</f>
        <v>2E-3</v>
      </c>
      <c r="I71" s="153">
        <f>G71/E71</f>
        <v>0.88500000000000001</v>
      </c>
      <c r="J71" s="185">
        <f>G71-D71</f>
        <v>-9.8000000000000007</v>
      </c>
      <c r="K71" s="186">
        <f>G71/D71</f>
        <v>0.996</v>
      </c>
      <c r="L71" s="187">
        <f t="shared" ref="L71:L83" si="45">G71-F71</f>
        <v>-1576.6</v>
      </c>
    </row>
    <row r="72" spans="1:13" ht="54" x14ac:dyDescent="0.2">
      <c r="A72" s="12" t="s">
        <v>131</v>
      </c>
      <c r="B72" s="8" t="s">
        <v>112</v>
      </c>
      <c r="C72" s="131">
        <f>C74</f>
        <v>4847.3999999999996</v>
      </c>
      <c r="D72" s="131">
        <f t="shared" ref="D72:G72" si="46">D74</f>
        <v>4534.3999999999996</v>
      </c>
      <c r="E72" s="131">
        <f t="shared" si="46"/>
        <v>2879.9</v>
      </c>
      <c r="F72" s="131">
        <f t="shared" si="46"/>
        <v>4010.7</v>
      </c>
      <c r="G72" s="131">
        <f t="shared" si="46"/>
        <v>4529.7</v>
      </c>
      <c r="H72" s="144">
        <f>G72/$G$231</f>
        <v>3.0000000000000001E-3</v>
      </c>
      <c r="I72" s="153">
        <f>G72/E72</f>
        <v>1.573</v>
      </c>
      <c r="J72" s="185">
        <f>G72-D72</f>
        <v>-4.7</v>
      </c>
      <c r="K72" s="186">
        <f>G72/D72</f>
        <v>0.999</v>
      </c>
      <c r="L72" s="187">
        <f t="shared" si="45"/>
        <v>519</v>
      </c>
    </row>
    <row r="73" spans="1:13" x14ac:dyDescent="0.2">
      <c r="A73" s="12"/>
      <c r="B73" s="8" t="s">
        <v>26</v>
      </c>
      <c r="C73" s="131"/>
      <c r="D73" s="131"/>
      <c r="E73" s="131"/>
      <c r="F73" s="5"/>
      <c r="G73" s="131"/>
      <c r="H73" s="144"/>
      <c r="I73" s="153"/>
      <c r="J73" s="185"/>
      <c r="K73" s="186"/>
      <c r="L73" s="187"/>
    </row>
    <row r="74" spans="1:13" s="30" customFormat="1" ht="40.5" x14ac:dyDescent="0.2">
      <c r="A74" s="166" t="s">
        <v>194</v>
      </c>
      <c r="B74" s="27" t="s">
        <v>180</v>
      </c>
      <c r="C74" s="132">
        <v>4847.3999999999996</v>
      </c>
      <c r="D74" s="132">
        <v>4534.3999999999996</v>
      </c>
      <c r="E74" s="132">
        <v>2879.9</v>
      </c>
      <c r="F74" s="132">
        <v>4010.7</v>
      </c>
      <c r="G74" s="132">
        <v>4529.7</v>
      </c>
      <c r="H74" s="158">
        <f>G74/$G$231</f>
        <v>3.0000000000000001E-3</v>
      </c>
      <c r="I74" s="153">
        <f>G74/E74</f>
        <v>1.573</v>
      </c>
      <c r="J74" s="191">
        <f t="shared" ref="J74:J79" si="47">G74-D74</f>
        <v>-4.7</v>
      </c>
      <c r="K74" s="195">
        <f>G74/D74</f>
        <v>0.999</v>
      </c>
      <c r="L74" s="187">
        <f t="shared" si="45"/>
        <v>519</v>
      </c>
    </row>
    <row r="75" spans="1:13" ht="40.5" hidden="1" customHeight="1" x14ac:dyDescent="0.2">
      <c r="A75" s="12" t="s">
        <v>237</v>
      </c>
      <c r="B75" s="8" t="s">
        <v>238</v>
      </c>
      <c r="C75" s="131">
        <v>0</v>
      </c>
      <c r="D75" s="131">
        <v>0</v>
      </c>
      <c r="E75" s="131">
        <v>0</v>
      </c>
      <c r="F75" s="5">
        <v>0</v>
      </c>
      <c r="G75" s="131">
        <v>0</v>
      </c>
      <c r="H75" s="158">
        <f t="shared" ref="H75" si="48">G75/$G$231</f>
        <v>0</v>
      </c>
      <c r="I75" s="153">
        <v>0</v>
      </c>
      <c r="J75" s="191">
        <f t="shared" si="47"/>
        <v>0</v>
      </c>
      <c r="K75" s="195">
        <v>0</v>
      </c>
      <c r="L75" s="187">
        <f t="shared" si="45"/>
        <v>0</v>
      </c>
    </row>
    <row r="76" spans="1:13" ht="13.5" hidden="1" customHeight="1" x14ac:dyDescent="0.2">
      <c r="A76" s="12"/>
      <c r="B76" s="8" t="s">
        <v>26</v>
      </c>
      <c r="C76" s="131"/>
      <c r="D76" s="123"/>
      <c r="E76" s="131"/>
      <c r="F76" s="5"/>
      <c r="G76" s="123"/>
      <c r="H76" s="158">
        <f>G76/$G$231</f>
        <v>0</v>
      </c>
      <c r="I76" s="153" t="e">
        <f>G76/E76</f>
        <v>#DIV/0!</v>
      </c>
      <c r="J76" s="191">
        <f t="shared" si="47"/>
        <v>0</v>
      </c>
      <c r="K76" s="195" t="e">
        <f>G76/D76</f>
        <v>#DIV/0!</v>
      </c>
      <c r="L76" s="187">
        <f t="shared" si="45"/>
        <v>0</v>
      </c>
    </row>
    <row r="77" spans="1:13" s="30" customFormat="1" ht="54" hidden="1" customHeight="1" x14ac:dyDescent="0.2">
      <c r="A77" s="12"/>
      <c r="B77" s="27" t="s">
        <v>128</v>
      </c>
      <c r="C77" s="132">
        <v>0</v>
      </c>
      <c r="D77" s="125">
        <v>0</v>
      </c>
      <c r="E77" s="132"/>
      <c r="F77" s="132">
        <v>0</v>
      </c>
      <c r="G77" s="125"/>
      <c r="H77" s="158">
        <f>G77/$G$231</f>
        <v>0</v>
      </c>
      <c r="I77" s="153" t="e">
        <f>G77/E77</f>
        <v>#DIV/0!</v>
      </c>
      <c r="J77" s="191">
        <f t="shared" si="47"/>
        <v>0</v>
      </c>
      <c r="K77" s="195" t="e">
        <f>G77/D77</f>
        <v>#DIV/0!</v>
      </c>
      <c r="L77" s="187">
        <f t="shared" si="45"/>
        <v>0</v>
      </c>
    </row>
    <row r="78" spans="1:13" ht="13.5" hidden="1" customHeight="1" x14ac:dyDescent="0.2">
      <c r="A78" s="12" t="s">
        <v>67</v>
      </c>
      <c r="B78" s="8" t="s">
        <v>22</v>
      </c>
      <c r="C78" s="131">
        <v>0</v>
      </c>
      <c r="D78" s="123">
        <v>0</v>
      </c>
      <c r="E78" s="131">
        <v>0</v>
      </c>
      <c r="F78" s="5">
        <v>0</v>
      </c>
      <c r="G78" s="123">
        <v>0</v>
      </c>
      <c r="H78" s="144">
        <f>G78/$G$231</f>
        <v>0</v>
      </c>
      <c r="I78" s="153">
        <v>0</v>
      </c>
      <c r="J78" s="185">
        <f t="shared" si="47"/>
        <v>0</v>
      </c>
      <c r="K78" s="186">
        <v>0</v>
      </c>
      <c r="L78" s="187">
        <f t="shared" si="45"/>
        <v>0</v>
      </c>
    </row>
    <row r="79" spans="1:13" s="1" customFormat="1" x14ac:dyDescent="0.2">
      <c r="A79" s="12" t="s">
        <v>70</v>
      </c>
      <c r="B79" s="8" t="s">
        <v>113</v>
      </c>
      <c r="C79" s="131">
        <v>3571.2</v>
      </c>
      <c r="D79" s="131">
        <v>7050.3</v>
      </c>
      <c r="E79" s="131">
        <v>94400.9</v>
      </c>
      <c r="F79" s="5">
        <v>111678.9</v>
      </c>
      <c r="G79" s="131">
        <v>7050.4</v>
      </c>
      <c r="H79" s="144">
        <f>G79/$G$231</f>
        <v>5.0000000000000001E-3</v>
      </c>
      <c r="I79" s="153">
        <f>G79/E79</f>
        <v>7.4999999999999997E-2</v>
      </c>
      <c r="J79" s="185">
        <f t="shared" si="47"/>
        <v>0.1</v>
      </c>
      <c r="K79" s="186">
        <f>G79/D79</f>
        <v>1</v>
      </c>
      <c r="L79" s="187">
        <f t="shared" si="45"/>
        <v>-104628.5</v>
      </c>
    </row>
    <row r="80" spans="1:13" s="1" customFormat="1" x14ac:dyDescent="0.2">
      <c r="A80" s="12"/>
      <c r="B80" s="213" t="s">
        <v>118</v>
      </c>
      <c r="C80" s="131"/>
      <c r="D80" s="131"/>
      <c r="E80" s="131"/>
      <c r="F80" s="5"/>
      <c r="G80" s="131"/>
      <c r="H80" s="144"/>
      <c r="I80" s="153"/>
      <c r="J80" s="185"/>
      <c r="K80" s="186"/>
      <c r="L80" s="187">
        <f t="shared" si="45"/>
        <v>0</v>
      </c>
    </row>
    <row r="81" spans="1:12" x14ac:dyDescent="0.2">
      <c r="A81" s="12"/>
      <c r="B81" s="7" t="s">
        <v>95</v>
      </c>
      <c r="C81" s="131">
        <v>4024.7</v>
      </c>
      <c r="D81" s="5">
        <v>4111.3</v>
      </c>
      <c r="E81" s="5">
        <v>3787.1</v>
      </c>
      <c r="F81" s="5">
        <v>5610.5</v>
      </c>
      <c r="G81" s="5">
        <v>4099.2</v>
      </c>
      <c r="H81" s="144">
        <f>G81/$G$231</f>
        <v>3.0000000000000001E-3</v>
      </c>
      <c r="I81" s="153">
        <f>G81/E81</f>
        <v>1.0820000000000001</v>
      </c>
      <c r="J81" s="185">
        <f>G81-D81</f>
        <v>-12.1</v>
      </c>
      <c r="K81" s="186">
        <f>G81/D81</f>
        <v>0.997</v>
      </c>
      <c r="L81" s="187">
        <f t="shared" si="45"/>
        <v>-1511.3</v>
      </c>
    </row>
    <row r="82" spans="1:12" ht="13.5" hidden="1" customHeight="1" x14ac:dyDescent="0.2">
      <c r="A82" s="12"/>
      <c r="B82" s="7" t="s">
        <v>98</v>
      </c>
      <c r="C82" s="131">
        <v>0</v>
      </c>
      <c r="D82" s="5">
        <v>0</v>
      </c>
      <c r="E82" s="5"/>
      <c r="F82" s="5">
        <v>0</v>
      </c>
      <c r="G82" s="5"/>
      <c r="H82" s="144">
        <f>G82/$G$231</f>
        <v>0</v>
      </c>
      <c r="I82" s="153" t="e">
        <f>G82/E82</f>
        <v>#DIV/0!</v>
      </c>
      <c r="J82" s="185">
        <f>G82-D82</f>
        <v>0</v>
      </c>
      <c r="K82" s="186" t="str">
        <f>IF(G82=0,"0,0%", G82/D82)</f>
        <v>0,0%</v>
      </c>
      <c r="L82" s="187">
        <f t="shared" si="45"/>
        <v>0</v>
      </c>
    </row>
    <row r="83" spans="1:12" x14ac:dyDescent="0.2">
      <c r="A83" s="12"/>
      <c r="B83" s="15" t="s">
        <v>137</v>
      </c>
      <c r="C83" s="131">
        <v>8187.6</v>
      </c>
      <c r="D83" s="131">
        <v>9412.4</v>
      </c>
      <c r="E83" s="131">
        <v>4280.8</v>
      </c>
      <c r="F83" s="131">
        <v>7329.7</v>
      </c>
      <c r="G83" s="131">
        <v>9407.7000000000007</v>
      </c>
      <c r="H83" s="144">
        <f>G83/$G$231</f>
        <v>6.0000000000000001E-3</v>
      </c>
      <c r="I83" s="153">
        <f>G83/E83</f>
        <v>2.198</v>
      </c>
      <c r="J83" s="185">
        <f>G83-D83</f>
        <v>-4.7</v>
      </c>
      <c r="K83" s="186">
        <f>G83/D83</f>
        <v>1</v>
      </c>
      <c r="L83" s="187">
        <f t="shared" si="45"/>
        <v>2078</v>
      </c>
    </row>
    <row r="84" spans="1:12" s="21" customFormat="1" ht="27" x14ac:dyDescent="0.2">
      <c r="A84" s="62" t="s">
        <v>86</v>
      </c>
      <c r="B84" s="66" t="s">
        <v>87</v>
      </c>
      <c r="C84" s="63">
        <f>C86+C88</f>
        <v>0</v>
      </c>
      <c r="D84" s="63">
        <f t="shared" ref="D84:G84" si="49">D86+D88</f>
        <v>0</v>
      </c>
      <c r="E84" s="63">
        <f t="shared" si="49"/>
        <v>11393.3</v>
      </c>
      <c r="F84" s="63">
        <f t="shared" ref="F84" si="50">F86+F88</f>
        <v>11968.7</v>
      </c>
      <c r="G84" s="63">
        <f t="shared" si="49"/>
        <v>0</v>
      </c>
      <c r="H84" s="64">
        <f>G84/$G$231</f>
        <v>0</v>
      </c>
      <c r="I84" s="153">
        <f>G84/E84</f>
        <v>0</v>
      </c>
      <c r="J84" s="154">
        <f>G84-D84</f>
        <v>0</v>
      </c>
      <c r="K84" s="153">
        <v>0</v>
      </c>
      <c r="L84" s="155">
        <f>G84-F84</f>
        <v>-11968.7</v>
      </c>
    </row>
    <row r="85" spans="1:12" s="21" customFormat="1" x14ac:dyDescent="0.2">
      <c r="A85" s="14"/>
      <c r="B85" s="104" t="s">
        <v>133</v>
      </c>
      <c r="C85" s="138"/>
      <c r="D85" s="138"/>
      <c r="E85" s="138"/>
      <c r="F85" s="138"/>
      <c r="G85" s="138"/>
      <c r="H85" s="134"/>
      <c r="I85" s="153"/>
      <c r="J85" s="154"/>
      <c r="K85" s="153"/>
      <c r="L85" s="155"/>
    </row>
    <row r="86" spans="1:12" s="30" customFormat="1" ht="40.5" hidden="1" customHeight="1" x14ac:dyDescent="0.2">
      <c r="A86" s="12" t="s">
        <v>132</v>
      </c>
      <c r="B86" s="15" t="s">
        <v>105</v>
      </c>
      <c r="C86" s="139">
        <v>0</v>
      </c>
      <c r="D86" s="129">
        <v>0</v>
      </c>
      <c r="E86" s="129"/>
      <c r="F86" s="129">
        <v>0</v>
      </c>
      <c r="G86" s="129">
        <v>0</v>
      </c>
      <c r="H86" s="128">
        <f>G86/$G$231</f>
        <v>0</v>
      </c>
      <c r="I86" s="153" t="e">
        <f t="shared" ref="I86:I91" si="51">G86/E86</f>
        <v>#DIV/0!</v>
      </c>
      <c r="J86" s="185">
        <f>G86-D86</f>
        <v>0</v>
      </c>
      <c r="K86" s="186" t="e">
        <f>G86/D86</f>
        <v>#DIV/0!</v>
      </c>
      <c r="L86" s="194" t="e">
        <f>G86-#REF!</f>
        <v>#REF!</v>
      </c>
    </row>
    <row r="87" spans="1:12" s="30" customFormat="1" ht="13.5" hidden="1" customHeight="1" x14ac:dyDescent="0.2">
      <c r="A87" s="12"/>
      <c r="B87" s="6" t="s">
        <v>26</v>
      </c>
      <c r="C87" s="139"/>
      <c r="D87" s="129"/>
      <c r="E87" s="129"/>
      <c r="F87" s="125"/>
      <c r="G87" s="125"/>
      <c r="H87" s="128"/>
      <c r="I87" s="153" t="e">
        <f t="shared" si="51"/>
        <v>#DIV/0!</v>
      </c>
      <c r="J87" s="185"/>
      <c r="K87" s="186"/>
      <c r="L87" s="194"/>
    </row>
    <row r="88" spans="1:12" s="30" customFormat="1" ht="40.5" x14ac:dyDescent="0.2">
      <c r="A88" s="12" t="s">
        <v>132</v>
      </c>
      <c r="B88" s="27" t="s">
        <v>134</v>
      </c>
      <c r="C88" s="132">
        <v>0</v>
      </c>
      <c r="D88" s="132">
        <v>0</v>
      </c>
      <c r="E88" s="132">
        <v>11393.3</v>
      </c>
      <c r="F88" s="132">
        <v>11968.7</v>
      </c>
      <c r="G88" s="132">
        <v>0</v>
      </c>
      <c r="H88" s="158">
        <f>G88/$G$231</f>
        <v>0</v>
      </c>
      <c r="I88" s="153">
        <f t="shared" si="51"/>
        <v>0</v>
      </c>
      <c r="J88" s="191">
        <f>G88-D88</f>
        <v>0</v>
      </c>
      <c r="K88" s="195">
        <v>0</v>
      </c>
      <c r="L88" s="196">
        <f>G88-F88</f>
        <v>-11968.7</v>
      </c>
    </row>
    <row r="89" spans="1:12" s="30" customFormat="1" ht="13.5" hidden="1" customHeight="1" x14ac:dyDescent="0.2">
      <c r="A89" s="79"/>
      <c r="B89" s="99" t="s">
        <v>119</v>
      </c>
      <c r="C89" s="86"/>
      <c r="D89" s="139"/>
      <c r="E89" s="139"/>
      <c r="F89" s="132"/>
      <c r="G89" s="132"/>
      <c r="H89" s="144"/>
      <c r="I89" s="153" t="e">
        <f t="shared" si="51"/>
        <v>#DIV/0!</v>
      </c>
      <c r="J89" s="185"/>
      <c r="K89" s="186"/>
      <c r="L89" s="194"/>
    </row>
    <row r="90" spans="1:12" s="30" customFormat="1" ht="13.5" hidden="1" customHeight="1" x14ac:dyDescent="0.2">
      <c r="A90" s="79"/>
      <c r="B90" s="88" t="s">
        <v>104</v>
      </c>
      <c r="C90" s="86"/>
      <c r="D90" s="139"/>
      <c r="E90" s="139"/>
      <c r="F90" s="132">
        <v>0</v>
      </c>
      <c r="G90" s="132">
        <v>0</v>
      </c>
      <c r="H90" s="144">
        <f>G90/$G$231</f>
        <v>0</v>
      </c>
      <c r="I90" s="153" t="e">
        <f t="shared" si="51"/>
        <v>#DIV/0!</v>
      </c>
      <c r="J90" s="185">
        <f>G90-D90</f>
        <v>0</v>
      </c>
      <c r="K90" s="186" t="e">
        <f>G90/D90</f>
        <v>#DIV/0!</v>
      </c>
      <c r="L90" s="194" t="e">
        <f>G90-#REF!</f>
        <v>#REF!</v>
      </c>
    </row>
    <row r="91" spans="1:12" s="21" customFormat="1" x14ac:dyDescent="0.2">
      <c r="A91" s="62" t="s">
        <v>23</v>
      </c>
      <c r="B91" s="159" t="s">
        <v>25</v>
      </c>
      <c r="C91" s="160">
        <f>C93+C97+C114+C92</f>
        <v>832253.6</v>
      </c>
      <c r="D91" s="160">
        <f t="shared" ref="D91:F91" si="52">D93+D97+D114+D92</f>
        <v>997569.2</v>
      </c>
      <c r="E91" s="160">
        <f t="shared" si="52"/>
        <v>428854.8</v>
      </c>
      <c r="F91" s="160">
        <f t="shared" si="52"/>
        <v>805943.5</v>
      </c>
      <c r="G91" s="160">
        <f>G93+G97+G114+G92</f>
        <v>943685.6</v>
      </c>
      <c r="H91" s="64">
        <f>G91/$G$231</f>
        <v>0.63600000000000001</v>
      </c>
      <c r="I91" s="153">
        <f t="shared" si="51"/>
        <v>2.2000000000000002</v>
      </c>
      <c r="J91" s="154">
        <f>G91-D91</f>
        <v>-53883.6</v>
      </c>
      <c r="K91" s="153">
        <f>G91/D91</f>
        <v>0.94599999999999995</v>
      </c>
      <c r="L91" s="155">
        <f>G91-F91</f>
        <v>137742.1</v>
      </c>
    </row>
    <row r="92" spans="1:12" s="21" customFormat="1" x14ac:dyDescent="0.2">
      <c r="A92" s="12" t="s">
        <v>245</v>
      </c>
      <c r="B92" s="218" t="s">
        <v>246</v>
      </c>
      <c r="C92" s="139">
        <v>1831.9</v>
      </c>
      <c r="D92" s="139">
        <v>299</v>
      </c>
      <c r="E92" s="139"/>
      <c r="F92" s="139">
        <v>299</v>
      </c>
      <c r="G92" s="139">
        <v>299</v>
      </c>
      <c r="H92" s="135">
        <f>G92/$G$231</f>
        <v>0</v>
      </c>
      <c r="I92" s="195"/>
      <c r="J92" s="191">
        <f>G92-D92</f>
        <v>0</v>
      </c>
      <c r="K92" s="195">
        <f>G92/D92</f>
        <v>1</v>
      </c>
      <c r="L92" s="196">
        <f>G92-F92</f>
        <v>0</v>
      </c>
    </row>
    <row r="93" spans="1:12" x14ac:dyDescent="0.2">
      <c r="A93" s="3" t="s">
        <v>46</v>
      </c>
      <c r="B93" s="7" t="s">
        <v>88</v>
      </c>
      <c r="C93" s="5">
        <f>C95</f>
        <v>25000</v>
      </c>
      <c r="D93" s="90">
        <f>D95</f>
        <v>27500</v>
      </c>
      <c r="E93" s="90">
        <f t="shared" ref="E93" si="53">E95</f>
        <v>20444.099999999999</v>
      </c>
      <c r="F93" s="90">
        <f t="shared" ref="F93:G93" si="54">F95</f>
        <v>26153</v>
      </c>
      <c r="G93" s="90">
        <f t="shared" si="54"/>
        <v>27500</v>
      </c>
      <c r="H93" s="144">
        <f>G93/$G$231</f>
        <v>1.9E-2</v>
      </c>
      <c r="I93" s="153">
        <f>G93/E93</f>
        <v>1.345</v>
      </c>
      <c r="J93" s="185">
        <f>G93-D93</f>
        <v>0</v>
      </c>
      <c r="K93" s="186">
        <f>G93/D93</f>
        <v>1</v>
      </c>
      <c r="L93" s="194">
        <f>G93-F93</f>
        <v>1347</v>
      </c>
    </row>
    <row r="94" spans="1:12" x14ac:dyDescent="0.2">
      <c r="A94" s="3"/>
      <c r="B94" s="6" t="s">
        <v>26</v>
      </c>
      <c r="C94" s="5"/>
      <c r="D94" s="5"/>
      <c r="E94" s="5"/>
      <c r="F94" s="149"/>
      <c r="G94" s="149"/>
      <c r="H94" s="144"/>
      <c r="I94" s="153"/>
      <c r="J94" s="185"/>
      <c r="K94" s="186"/>
      <c r="L94" s="194"/>
    </row>
    <row r="95" spans="1:12" ht="54" x14ac:dyDescent="0.2">
      <c r="A95" s="3"/>
      <c r="B95" s="7" t="s">
        <v>108</v>
      </c>
      <c r="C95" s="5">
        <v>25000</v>
      </c>
      <c r="D95" s="5">
        <v>27500</v>
      </c>
      <c r="E95" s="5">
        <v>20444.099999999999</v>
      </c>
      <c r="F95" s="5">
        <v>26153</v>
      </c>
      <c r="G95" s="5">
        <v>27500</v>
      </c>
      <c r="H95" s="144">
        <f>G95/$G$231</f>
        <v>1.9E-2</v>
      </c>
      <c r="I95" s="153">
        <f>G95/E95</f>
        <v>1.345</v>
      </c>
      <c r="J95" s="185">
        <f>G95-D95</f>
        <v>0</v>
      </c>
      <c r="K95" s="186">
        <f>G95/D95</f>
        <v>1</v>
      </c>
      <c r="L95" s="194">
        <f>G95-F95</f>
        <v>1347</v>
      </c>
    </row>
    <row r="96" spans="1:12" s="30" customFormat="1" ht="13.5" hidden="1" customHeight="1" x14ac:dyDescent="0.2">
      <c r="A96" s="12"/>
      <c r="B96" s="27" t="s">
        <v>129</v>
      </c>
      <c r="C96" s="132"/>
      <c r="D96" s="132"/>
      <c r="E96" s="132"/>
      <c r="F96" s="132"/>
      <c r="G96" s="132"/>
      <c r="H96" s="158">
        <f>G96/$G$231</f>
        <v>0</v>
      </c>
      <c r="I96" s="153" t="e">
        <f>G96/E96</f>
        <v>#DIV/0!</v>
      </c>
      <c r="J96" s="191">
        <f>G96-D96</f>
        <v>0</v>
      </c>
      <c r="K96" s="195" t="e">
        <f>G96/D96</f>
        <v>#DIV/0!</v>
      </c>
      <c r="L96" s="194">
        <f t="shared" ref="L96:L120" si="55">G96-F96</f>
        <v>0</v>
      </c>
    </row>
    <row r="97" spans="1:12" s="1" customFormat="1" x14ac:dyDescent="0.2">
      <c r="A97" s="3" t="s">
        <v>89</v>
      </c>
      <c r="B97" s="7" t="s">
        <v>90</v>
      </c>
      <c r="C97" s="5">
        <f>C99+C111</f>
        <v>798682.6</v>
      </c>
      <c r="D97" s="5">
        <f>D99+D111</f>
        <v>966252.7</v>
      </c>
      <c r="E97" s="5">
        <f t="shared" ref="E97" si="56">E99+E111</f>
        <v>406131.1</v>
      </c>
      <c r="F97" s="5">
        <f>F99+F111</f>
        <v>775745.2</v>
      </c>
      <c r="G97" s="5">
        <f>G99+G111</f>
        <v>912379.4</v>
      </c>
      <c r="H97" s="144">
        <f>G97/$G$231</f>
        <v>0.61499999999999999</v>
      </c>
      <c r="I97" s="153">
        <f>G97/E97</f>
        <v>2.2469999999999999</v>
      </c>
      <c r="J97" s="185">
        <f>G97-D97</f>
        <v>-53873.3</v>
      </c>
      <c r="K97" s="186">
        <f>G97/D97</f>
        <v>0.94399999999999995</v>
      </c>
      <c r="L97" s="194">
        <f t="shared" si="55"/>
        <v>136634.20000000001</v>
      </c>
    </row>
    <row r="98" spans="1:12" s="1" customFormat="1" x14ac:dyDescent="0.2">
      <c r="A98" s="3"/>
      <c r="B98" s="6" t="s">
        <v>170</v>
      </c>
      <c r="C98" s="5"/>
      <c r="D98" s="5"/>
      <c r="E98" s="150"/>
      <c r="F98" s="150"/>
      <c r="G98" s="150"/>
      <c r="H98" s="144"/>
      <c r="I98" s="153"/>
      <c r="J98" s="185"/>
      <c r="K98" s="186"/>
      <c r="L98" s="194"/>
    </row>
    <row r="99" spans="1:12" s="1" customFormat="1" ht="27" x14ac:dyDescent="0.2">
      <c r="A99" s="3"/>
      <c r="B99" s="7" t="s">
        <v>177</v>
      </c>
      <c r="C99" s="5">
        <v>175291.6</v>
      </c>
      <c r="D99" s="5">
        <f>17300.2+D105</f>
        <v>245658.9</v>
      </c>
      <c r="E99" s="5">
        <v>160744.20000000001</v>
      </c>
      <c r="F99" s="5">
        <v>281634</v>
      </c>
      <c r="G99" s="5">
        <f>16070.2+G105</f>
        <v>227256.9</v>
      </c>
      <c r="H99" s="144">
        <f>G99/$G$231</f>
        <v>0.153</v>
      </c>
      <c r="I99" s="153">
        <f>G99/E99</f>
        <v>1.4139999999999999</v>
      </c>
      <c r="J99" s="185">
        <f>G99-D99</f>
        <v>-18402</v>
      </c>
      <c r="K99" s="186">
        <f>G99/D99</f>
        <v>0.92500000000000004</v>
      </c>
      <c r="L99" s="194">
        <f>G99-F99</f>
        <v>-54377.1</v>
      </c>
    </row>
    <row r="100" spans="1:12" s="1" customFormat="1" ht="67.5" hidden="1" customHeight="1" x14ac:dyDescent="0.2">
      <c r="A100" s="3"/>
      <c r="B100" s="7" t="s">
        <v>116</v>
      </c>
      <c r="C100" s="5"/>
      <c r="D100" s="124"/>
      <c r="E100" s="5">
        <v>0</v>
      </c>
      <c r="F100" s="5">
        <v>0</v>
      </c>
      <c r="G100" s="124">
        <v>0</v>
      </c>
      <c r="H100" s="144">
        <f>G100/$G$231</f>
        <v>0</v>
      </c>
      <c r="I100" s="153" t="e">
        <f>G100/E100</f>
        <v>#DIV/0!</v>
      </c>
      <c r="J100" s="185">
        <f>G100-D100</f>
        <v>0</v>
      </c>
      <c r="K100" s="186" t="e">
        <f>G100/D100</f>
        <v>#DIV/0!</v>
      </c>
      <c r="L100" s="194">
        <f t="shared" si="55"/>
        <v>0</v>
      </c>
    </row>
    <row r="101" spans="1:12" s="1" customFormat="1" ht="54" hidden="1" customHeight="1" x14ac:dyDescent="0.2">
      <c r="A101" s="3"/>
      <c r="B101" s="7" t="s">
        <v>117</v>
      </c>
      <c r="C101" s="5"/>
      <c r="D101" s="124"/>
      <c r="E101" s="5">
        <v>0</v>
      </c>
      <c r="F101" s="5">
        <v>0</v>
      </c>
      <c r="G101" s="124">
        <v>0</v>
      </c>
      <c r="H101" s="144">
        <f>G101/$G$231</f>
        <v>0</v>
      </c>
      <c r="I101" s="153" t="e">
        <f>G101/E101</f>
        <v>#DIV/0!</v>
      </c>
      <c r="J101" s="185">
        <f>G101-D101</f>
        <v>0</v>
      </c>
      <c r="K101" s="186" t="e">
        <f>G101/D101</f>
        <v>#DIV/0!</v>
      </c>
      <c r="L101" s="194">
        <f t="shared" si="55"/>
        <v>0</v>
      </c>
    </row>
    <row r="102" spans="1:12" s="1" customFormat="1" ht="40.5" hidden="1" customHeight="1" x14ac:dyDescent="0.2">
      <c r="A102" s="3"/>
      <c r="B102" s="7" t="s">
        <v>91</v>
      </c>
      <c r="C102" s="5"/>
      <c r="D102" s="124"/>
      <c r="E102" s="5">
        <v>0</v>
      </c>
      <c r="F102" s="5">
        <v>0</v>
      </c>
      <c r="G102" s="124">
        <v>0</v>
      </c>
      <c r="H102" s="144">
        <f>G102/$G$231</f>
        <v>0</v>
      </c>
      <c r="I102" s="153" t="e">
        <f>G102/E102</f>
        <v>#DIV/0!</v>
      </c>
      <c r="J102" s="185">
        <f>G102-D102</f>
        <v>0</v>
      </c>
      <c r="K102" s="186" t="e">
        <f>G102/D102</f>
        <v>#DIV/0!</v>
      </c>
      <c r="L102" s="194">
        <f t="shared" si="55"/>
        <v>0</v>
      </c>
    </row>
    <row r="103" spans="1:12" s="30" customFormat="1" ht="13.5" hidden="1" customHeight="1" x14ac:dyDescent="0.2">
      <c r="A103" s="12"/>
      <c r="B103" s="27" t="s">
        <v>129</v>
      </c>
      <c r="C103" s="132"/>
      <c r="D103" s="125"/>
      <c r="E103" s="132">
        <v>0</v>
      </c>
      <c r="F103" s="132">
        <v>0</v>
      </c>
      <c r="G103" s="125">
        <v>0</v>
      </c>
      <c r="H103" s="144">
        <f>G103/$G$231</f>
        <v>0</v>
      </c>
      <c r="I103" s="153" t="e">
        <f>G103/E103</f>
        <v>#DIV/0!</v>
      </c>
      <c r="J103" s="185">
        <f>G103-D103</f>
        <v>0</v>
      </c>
      <c r="K103" s="186" t="e">
        <f>G103/D103</f>
        <v>#DIV/0!</v>
      </c>
      <c r="L103" s="194">
        <f t="shared" si="55"/>
        <v>0</v>
      </c>
    </row>
    <row r="104" spans="1:12" s="30" customFormat="1" ht="13.5" customHeight="1" x14ac:dyDescent="0.2">
      <c r="A104" s="12"/>
      <c r="B104" s="118" t="s">
        <v>170</v>
      </c>
      <c r="C104" s="132"/>
      <c r="D104" s="132"/>
      <c r="E104" s="132"/>
      <c r="F104" s="132"/>
      <c r="G104" s="132"/>
      <c r="H104" s="144"/>
      <c r="I104" s="153"/>
      <c r="J104" s="185"/>
      <c r="K104" s="186"/>
      <c r="L104" s="194"/>
    </row>
    <row r="105" spans="1:12" s="30" customFormat="1" ht="27" x14ac:dyDescent="0.2">
      <c r="A105" s="12"/>
      <c r="B105" s="119" t="s">
        <v>244</v>
      </c>
      <c r="C105" s="132">
        <f>SUM(C106:C110)</f>
        <v>164965.70000000001</v>
      </c>
      <c r="D105" s="132">
        <f>SUM(D106:D110)</f>
        <v>228358.7</v>
      </c>
      <c r="E105" s="132">
        <f t="shared" ref="E105" si="57">SUM(E106:E110)</f>
        <v>30418.3</v>
      </c>
      <c r="F105" s="132">
        <f t="shared" ref="F105:G105" si="58">SUM(F106:F110)</f>
        <v>154962.6</v>
      </c>
      <c r="G105" s="132">
        <f t="shared" si="58"/>
        <v>211186.7</v>
      </c>
      <c r="H105" s="144">
        <f t="shared" ref="H105:H111" si="59">G105/$G$231</f>
        <v>0.14199999999999999</v>
      </c>
      <c r="I105" s="153">
        <f>G105/E105</f>
        <v>6.9429999999999996</v>
      </c>
      <c r="J105" s="185">
        <f t="shared" ref="J105:J111" si="60">G105-D105</f>
        <v>-17172</v>
      </c>
      <c r="K105" s="186">
        <f t="shared" ref="K105:K111" si="61">G105/D105</f>
        <v>0.92500000000000004</v>
      </c>
      <c r="L105" s="194">
        <f t="shared" si="55"/>
        <v>56224.1</v>
      </c>
    </row>
    <row r="106" spans="1:12" s="30" customFormat="1" ht="13.5" customHeight="1" x14ac:dyDescent="0.2">
      <c r="A106" s="73"/>
      <c r="B106" s="74" t="s">
        <v>95</v>
      </c>
      <c r="C106" s="87">
        <v>89656</v>
      </c>
      <c r="D106" s="87">
        <v>97168.4</v>
      </c>
      <c r="E106" s="87">
        <v>20251.7</v>
      </c>
      <c r="F106" s="87">
        <v>59342.3</v>
      </c>
      <c r="G106" s="87">
        <v>93465.600000000006</v>
      </c>
      <c r="H106" s="145">
        <f t="shared" si="59"/>
        <v>6.3E-2</v>
      </c>
      <c r="I106" s="153">
        <f>G106/E106</f>
        <v>4.6150000000000002</v>
      </c>
      <c r="J106" s="185">
        <f t="shared" si="60"/>
        <v>-3702.8</v>
      </c>
      <c r="K106" s="186">
        <f t="shared" si="61"/>
        <v>0.96199999999999997</v>
      </c>
      <c r="L106" s="194">
        <f t="shared" si="55"/>
        <v>34123.300000000003</v>
      </c>
    </row>
    <row r="107" spans="1:12" s="30" customFormat="1" ht="13.5" customHeight="1" x14ac:dyDescent="0.2">
      <c r="A107" s="73"/>
      <c r="B107" s="74" t="s">
        <v>155</v>
      </c>
      <c r="C107" s="87">
        <v>221.5</v>
      </c>
      <c r="D107" s="87">
        <v>229.6</v>
      </c>
      <c r="E107" s="87"/>
      <c r="F107" s="87">
        <v>58.3</v>
      </c>
      <c r="G107" s="87">
        <v>229.5</v>
      </c>
      <c r="H107" s="145">
        <f t="shared" si="59"/>
        <v>0</v>
      </c>
      <c r="I107" s="153"/>
      <c r="J107" s="185">
        <f t="shared" si="60"/>
        <v>-0.1</v>
      </c>
      <c r="K107" s="186">
        <f t="shared" si="61"/>
        <v>1</v>
      </c>
      <c r="L107" s="194">
        <f t="shared" si="55"/>
        <v>171.2</v>
      </c>
    </row>
    <row r="108" spans="1:12" s="30" customFormat="1" ht="13.5" customHeight="1" x14ac:dyDescent="0.2">
      <c r="A108" s="73"/>
      <c r="B108" s="74" t="s">
        <v>98</v>
      </c>
      <c r="C108" s="87">
        <v>3821.5</v>
      </c>
      <c r="D108" s="87">
        <v>7272.8</v>
      </c>
      <c r="E108" s="87">
        <v>263.2</v>
      </c>
      <c r="F108" s="87">
        <v>1505.1</v>
      </c>
      <c r="G108" s="87">
        <v>4652</v>
      </c>
      <c r="H108" s="145">
        <f t="shared" si="59"/>
        <v>3.0000000000000001E-3</v>
      </c>
      <c r="I108" s="153">
        <f>G108/E108</f>
        <v>17.675000000000001</v>
      </c>
      <c r="J108" s="185">
        <f t="shared" si="60"/>
        <v>-2620.8000000000002</v>
      </c>
      <c r="K108" s="186">
        <f t="shared" si="61"/>
        <v>0.64</v>
      </c>
      <c r="L108" s="194">
        <f t="shared" si="55"/>
        <v>3146.9</v>
      </c>
    </row>
    <row r="109" spans="1:12" s="30" customFormat="1" ht="13.5" customHeight="1" x14ac:dyDescent="0.2">
      <c r="A109" s="73"/>
      <c r="B109" s="74" t="s">
        <v>153</v>
      </c>
      <c r="C109" s="87">
        <v>922.5</v>
      </c>
      <c r="D109" s="87">
        <v>1052.4000000000001</v>
      </c>
      <c r="E109" s="87">
        <v>71.5</v>
      </c>
      <c r="F109" s="87">
        <v>1552.9</v>
      </c>
      <c r="G109" s="87">
        <v>792.4</v>
      </c>
      <c r="H109" s="145">
        <f t="shared" si="59"/>
        <v>1E-3</v>
      </c>
      <c r="I109" s="153">
        <v>0</v>
      </c>
      <c r="J109" s="185">
        <f t="shared" si="60"/>
        <v>-260</v>
      </c>
      <c r="K109" s="186">
        <f t="shared" si="61"/>
        <v>0.753</v>
      </c>
      <c r="L109" s="194">
        <f t="shared" si="55"/>
        <v>-760.5</v>
      </c>
    </row>
    <row r="110" spans="1:12" s="30" customFormat="1" ht="13.5" customHeight="1" x14ac:dyDescent="0.2">
      <c r="A110" s="73"/>
      <c r="B110" s="74" t="s">
        <v>154</v>
      </c>
      <c r="C110" s="87">
        <v>70344.2</v>
      </c>
      <c r="D110" s="87">
        <v>122635.5</v>
      </c>
      <c r="E110" s="87">
        <v>9831.9</v>
      </c>
      <c r="F110" s="87">
        <v>92504</v>
      </c>
      <c r="G110" s="87">
        <v>112047.2</v>
      </c>
      <c r="H110" s="145">
        <f t="shared" si="59"/>
        <v>7.5999999999999998E-2</v>
      </c>
      <c r="I110" s="153">
        <f>G110/E110</f>
        <v>11.396000000000001</v>
      </c>
      <c r="J110" s="185">
        <f t="shared" si="60"/>
        <v>-10588.3</v>
      </c>
      <c r="K110" s="186">
        <f t="shared" si="61"/>
        <v>0.91400000000000003</v>
      </c>
      <c r="L110" s="194">
        <f t="shared" si="55"/>
        <v>19543.2</v>
      </c>
    </row>
    <row r="111" spans="1:12" s="1" customFormat="1" ht="27" x14ac:dyDescent="0.2">
      <c r="A111" s="105" t="s">
        <v>288</v>
      </c>
      <c r="B111" s="7" t="s">
        <v>223</v>
      </c>
      <c r="C111" s="5">
        <v>623391</v>
      </c>
      <c r="D111" s="5">
        <v>720593.8</v>
      </c>
      <c r="E111" s="5">
        <v>245386.9</v>
      </c>
      <c r="F111" s="5">
        <v>494111.2</v>
      </c>
      <c r="G111" s="5">
        <v>685122.5</v>
      </c>
      <c r="H111" s="144">
        <f t="shared" si="59"/>
        <v>0.46200000000000002</v>
      </c>
      <c r="I111" s="153">
        <f>G111/E111</f>
        <v>2.7919999999999998</v>
      </c>
      <c r="J111" s="185">
        <f t="shared" si="60"/>
        <v>-35471.300000000003</v>
      </c>
      <c r="K111" s="186">
        <f t="shared" si="61"/>
        <v>0.95099999999999996</v>
      </c>
      <c r="L111" s="194">
        <f t="shared" si="55"/>
        <v>191011.3</v>
      </c>
    </row>
    <row r="112" spans="1:12" s="1" customFormat="1" ht="15" hidden="1" customHeight="1" x14ac:dyDescent="0.2">
      <c r="A112" s="105"/>
      <c r="B112" s="7" t="s">
        <v>170</v>
      </c>
      <c r="C112" s="5"/>
      <c r="D112" s="5"/>
      <c r="E112" s="5"/>
      <c r="F112" s="5"/>
      <c r="G112" s="5"/>
      <c r="H112" s="144"/>
      <c r="I112" s="153">
        <v>0</v>
      </c>
      <c r="J112" s="185"/>
      <c r="K112" s="186"/>
      <c r="L112" s="194">
        <f t="shared" si="55"/>
        <v>0</v>
      </c>
    </row>
    <row r="113" spans="1:12" s="1" customFormat="1" ht="40.5" hidden="1" customHeight="1" x14ac:dyDescent="0.2">
      <c r="A113" s="105" t="s">
        <v>221</v>
      </c>
      <c r="B113" s="172" t="s">
        <v>222</v>
      </c>
      <c r="C113" s="5">
        <v>0</v>
      </c>
      <c r="D113" s="124">
        <v>372480</v>
      </c>
      <c r="E113" s="5">
        <v>54256</v>
      </c>
      <c r="F113" s="5">
        <v>404139.1</v>
      </c>
      <c r="G113" s="5">
        <v>54256</v>
      </c>
      <c r="H113" s="144">
        <f>G113/$G$231</f>
        <v>3.6999999999999998E-2</v>
      </c>
      <c r="I113" s="153">
        <f>G113/E113</f>
        <v>1</v>
      </c>
      <c r="J113" s="185">
        <f>G113-D113</f>
        <v>-318224</v>
      </c>
      <c r="K113" s="186">
        <f>G113/D113</f>
        <v>0.14599999999999999</v>
      </c>
      <c r="L113" s="194">
        <f t="shared" si="55"/>
        <v>-349883.1</v>
      </c>
    </row>
    <row r="114" spans="1:12" s="1" customFormat="1" x14ac:dyDescent="0.2">
      <c r="A114" s="3" t="s">
        <v>135</v>
      </c>
      <c r="B114" s="7" t="s">
        <v>123</v>
      </c>
      <c r="C114" s="5">
        <f>C116+C118</f>
        <v>6739.1</v>
      </c>
      <c r="D114" s="5">
        <f>D116+D118</f>
        <v>3517.5</v>
      </c>
      <c r="E114" s="5">
        <f t="shared" ref="E114" si="62">E116+E118</f>
        <v>2279.6</v>
      </c>
      <c r="F114" s="5">
        <f t="shared" ref="F114:G114" si="63">F116+F118</f>
        <v>3746.3</v>
      </c>
      <c r="G114" s="5">
        <f t="shared" si="63"/>
        <v>3507.2</v>
      </c>
      <c r="H114" s="144">
        <f>G114/$G$231</f>
        <v>2E-3</v>
      </c>
      <c r="I114" s="153">
        <f>G114/E114</f>
        <v>1.5389999999999999</v>
      </c>
      <c r="J114" s="185">
        <f>G114-D114</f>
        <v>-10.3</v>
      </c>
      <c r="K114" s="186">
        <f>G114/D114</f>
        <v>0.997</v>
      </c>
      <c r="L114" s="194">
        <f t="shared" si="55"/>
        <v>-239.1</v>
      </c>
    </row>
    <row r="115" spans="1:12" s="1" customFormat="1" x14ac:dyDescent="0.2">
      <c r="A115" s="3"/>
      <c r="B115" s="6" t="s">
        <v>26</v>
      </c>
      <c r="C115" s="5"/>
      <c r="D115" s="5"/>
      <c r="E115" s="5"/>
      <c r="F115" s="5"/>
      <c r="G115" s="5"/>
      <c r="H115" s="144"/>
      <c r="I115" s="153">
        <v>0</v>
      </c>
      <c r="J115" s="185"/>
      <c r="K115" s="186"/>
      <c r="L115" s="194"/>
    </row>
    <row r="116" spans="1:12" s="30" customFormat="1" ht="40.5" x14ac:dyDescent="0.2">
      <c r="A116" s="12" t="s">
        <v>195</v>
      </c>
      <c r="B116" s="27" t="s">
        <v>136</v>
      </c>
      <c r="C116" s="132">
        <v>2739.1</v>
      </c>
      <c r="D116" s="132">
        <v>2497.6</v>
      </c>
      <c r="E116" s="132">
        <v>1370</v>
      </c>
      <c r="F116" s="132">
        <v>1858.5</v>
      </c>
      <c r="G116" s="132">
        <v>2487.3000000000002</v>
      </c>
      <c r="H116" s="158">
        <f>G116/$G$231</f>
        <v>2E-3</v>
      </c>
      <c r="I116" s="153">
        <f>G116/E116</f>
        <v>1.8160000000000001</v>
      </c>
      <c r="J116" s="191">
        <f>G116-D116</f>
        <v>-10.3</v>
      </c>
      <c r="K116" s="195">
        <f>G116/D116</f>
        <v>0.996</v>
      </c>
      <c r="L116" s="194">
        <f t="shared" si="55"/>
        <v>628.79999999999995</v>
      </c>
    </row>
    <row r="117" spans="1:12" s="30" customFormat="1" ht="54" hidden="1" customHeight="1" x14ac:dyDescent="0.2">
      <c r="A117" s="12"/>
      <c r="B117" s="27" t="s">
        <v>136</v>
      </c>
      <c r="C117" s="132">
        <v>0</v>
      </c>
      <c r="D117" s="132">
        <v>0</v>
      </c>
      <c r="E117" s="132">
        <v>0</v>
      </c>
      <c r="F117" s="132">
        <v>0</v>
      </c>
      <c r="G117" s="132">
        <v>0</v>
      </c>
      <c r="H117" s="158">
        <f>G117/$G$231</f>
        <v>0</v>
      </c>
      <c r="I117" s="153" t="e">
        <f>G117/E117</f>
        <v>#DIV/0!</v>
      </c>
      <c r="J117" s="191">
        <f>G117-D117</f>
        <v>0</v>
      </c>
      <c r="K117" s="195" t="e">
        <f>G117/D117</f>
        <v>#DIV/0!</v>
      </c>
      <c r="L117" s="194">
        <f t="shared" si="55"/>
        <v>0</v>
      </c>
    </row>
    <row r="118" spans="1:12" s="30" customFormat="1" ht="23.25" customHeight="1" x14ac:dyDescent="0.2">
      <c r="A118" s="12" t="s">
        <v>213</v>
      </c>
      <c r="B118" s="27" t="s">
        <v>174</v>
      </c>
      <c r="C118" s="132">
        <v>4000</v>
      </c>
      <c r="D118" s="132">
        <v>1019.9</v>
      </c>
      <c r="E118" s="132">
        <v>909.6</v>
      </c>
      <c r="F118" s="132">
        <v>1887.8</v>
      </c>
      <c r="G118" s="132">
        <v>1019.9</v>
      </c>
      <c r="H118" s="158">
        <f>G118/$G$231</f>
        <v>1E-3</v>
      </c>
      <c r="I118" s="153">
        <f>G118/E118</f>
        <v>1.121</v>
      </c>
      <c r="J118" s="191">
        <f>G118-D118</f>
        <v>0</v>
      </c>
      <c r="K118" s="195">
        <f>G118/D118</f>
        <v>1</v>
      </c>
      <c r="L118" s="194">
        <f t="shared" si="55"/>
        <v>-867.9</v>
      </c>
    </row>
    <row r="119" spans="1:12" s="1" customFormat="1" x14ac:dyDescent="0.2">
      <c r="A119" s="3"/>
      <c r="B119" s="213" t="s">
        <v>120</v>
      </c>
      <c r="C119" s="5"/>
      <c r="D119" s="5"/>
      <c r="E119" s="5"/>
      <c r="F119" s="5"/>
      <c r="G119" s="5"/>
      <c r="H119" s="158"/>
      <c r="I119" s="153"/>
      <c r="J119" s="191"/>
      <c r="K119" s="195"/>
      <c r="L119" s="194"/>
    </row>
    <row r="120" spans="1:12" s="1" customFormat="1" x14ac:dyDescent="0.2">
      <c r="A120" s="3"/>
      <c r="B120" s="15" t="s">
        <v>95</v>
      </c>
      <c r="C120" s="5">
        <v>89656</v>
      </c>
      <c r="D120" s="5">
        <v>97168.4</v>
      </c>
      <c r="E120" s="5"/>
      <c r="F120" s="5">
        <v>59342.3</v>
      </c>
      <c r="G120" s="5">
        <v>93465.600000000006</v>
      </c>
      <c r="H120" s="158">
        <f t="shared" ref="H120" si="64">G120/$G$231</f>
        <v>6.3E-2</v>
      </c>
      <c r="I120" s="153"/>
      <c r="J120" s="191">
        <f>G120-D120</f>
        <v>-3702.8</v>
      </c>
      <c r="K120" s="195">
        <f>G120/D120</f>
        <v>0.96199999999999997</v>
      </c>
      <c r="L120" s="194">
        <f t="shared" si="55"/>
        <v>34123.300000000003</v>
      </c>
    </row>
    <row r="121" spans="1:12" s="1" customFormat="1" x14ac:dyDescent="0.2">
      <c r="A121" s="3"/>
      <c r="B121" s="15" t="s">
        <v>137</v>
      </c>
      <c r="C121" s="5">
        <v>832253.6</v>
      </c>
      <c r="D121" s="5">
        <v>991962.3</v>
      </c>
      <c r="E121" s="5">
        <v>428552</v>
      </c>
      <c r="F121" s="5">
        <v>800297.3</v>
      </c>
      <c r="G121" s="5">
        <v>938092.3</v>
      </c>
      <c r="H121" s="144">
        <f>G121/$G$231</f>
        <v>0.63200000000000001</v>
      </c>
      <c r="I121" s="153">
        <f>G121/E121</f>
        <v>2.1890000000000001</v>
      </c>
      <c r="J121" s="185">
        <f>G121-D121</f>
        <v>-53870</v>
      </c>
      <c r="K121" s="186">
        <f>G121/D121</f>
        <v>0.94599999999999995</v>
      </c>
      <c r="L121" s="194">
        <f>G121-F121</f>
        <v>137795</v>
      </c>
    </row>
    <row r="122" spans="1:12" s="21" customFormat="1" x14ac:dyDescent="0.2">
      <c r="A122" s="62" t="s">
        <v>21</v>
      </c>
      <c r="B122" s="67" t="s">
        <v>8</v>
      </c>
      <c r="C122" s="65">
        <f>C123+C141+C159+C138</f>
        <v>225388.2</v>
      </c>
      <c r="D122" s="65">
        <f>D123+D141+D159+D138</f>
        <v>231026.9</v>
      </c>
      <c r="E122" s="65">
        <f>E123+E141+E159+E138</f>
        <v>155364.79999999999</v>
      </c>
      <c r="F122" s="65">
        <f>F123+F141+F159</f>
        <v>248864.8</v>
      </c>
      <c r="G122" s="65">
        <f>G123+G141+G159</f>
        <v>219872.4</v>
      </c>
      <c r="H122" s="64">
        <f>G122/$G$231</f>
        <v>0.14799999999999999</v>
      </c>
      <c r="I122" s="153">
        <f>G122/E122</f>
        <v>1.415</v>
      </c>
      <c r="J122" s="154">
        <f>G122-D122</f>
        <v>-11154.5</v>
      </c>
      <c r="K122" s="153">
        <f>G122/D122</f>
        <v>0.95199999999999996</v>
      </c>
      <c r="L122" s="155">
        <f>G122-F122</f>
        <v>-28992.400000000001</v>
      </c>
    </row>
    <row r="123" spans="1:12" x14ac:dyDescent="0.2">
      <c r="A123" s="12" t="s">
        <v>54</v>
      </c>
      <c r="B123" s="26" t="s">
        <v>66</v>
      </c>
      <c r="C123" s="132">
        <f>C125+C128+C127+C129+C130+C136+C137</f>
        <v>9359</v>
      </c>
      <c r="D123" s="132">
        <f>D125+D128+D127+D129+D130+D136+D137</f>
        <v>12633.9</v>
      </c>
      <c r="E123" s="132">
        <f>E125+E128+E127+E129+E130+E136+E137</f>
        <v>6809.9</v>
      </c>
      <c r="F123" s="132">
        <f>F125+F128+F127+F129+F130+F136+F137</f>
        <v>11138.9</v>
      </c>
      <c r="G123" s="132">
        <f>G125+G128+G127+G129+G130+G136+G137</f>
        <v>9056.1</v>
      </c>
      <c r="H123" s="144">
        <f>G123/$G$231</f>
        <v>6.0000000000000001E-3</v>
      </c>
      <c r="I123" s="153">
        <f>G123/E123</f>
        <v>1.33</v>
      </c>
      <c r="J123" s="185">
        <f>G123-D123</f>
        <v>-3577.8</v>
      </c>
      <c r="K123" s="186">
        <f>G123/D123</f>
        <v>0.71699999999999997</v>
      </c>
      <c r="L123" s="194">
        <f>G123-F123</f>
        <v>-2082.8000000000002</v>
      </c>
    </row>
    <row r="124" spans="1:12" x14ac:dyDescent="0.2">
      <c r="A124" s="12"/>
      <c r="B124" s="26" t="s">
        <v>170</v>
      </c>
      <c r="C124" s="133"/>
      <c r="D124" s="133"/>
      <c r="E124" s="133"/>
      <c r="F124" s="133"/>
      <c r="G124" s="133"/>
      <c r="H124" s="151"/>
      <c r="I124" s="153"/>
      <c r="J124" s="185"/>
      <c r="K124" s="186"/>
      <c r="L124" s="194"/>
    </row>
    <row r="125" spans="1:12" ht="40.5" x14ac:dyDescent="0.2">
      <c r="A125" s="166" t="s">
        <v>239</v>
      </c>
      <c r="B125" s="27" t="s">
        <v>68</v>
      </c>
      <c r="C125" s="132">
        <v>476.3</v>
      </c>
      <c r="D125" s="132">
        <v>3226.6</v>
      </c>
      <c r="E125" s="132">
        <v>224.4</v>
      </c>
      <c r="F125" s="132">
        <v>224.4</v>
      </c>
      <c r="G125" s="132">
        <v>0</v>
      </c>
      <c r="H125" s="144">
        <f t="shared" ref="H125:H130" si="65">G125/$G$231</f>
        <v>0</v>
      </c>
      <c r="I125" s="153">
        <f>G125/E125</f>
        <v>0</v>
      </c>
      <c r="J125" s="185">
        <f t="shared" ref="J125:J130" si="66">G125-D125</f>
        <v>-3226.6</v>
      </c>
      <c r="K125" s="186">
        <f>G125/D125</f>
        <v>0</v>
      </c>
      <c r="L125" s="194">
        <f t="shared" ref="L125:L151" si="67">G125-F125</f>
        <v>-224.4</v>
      </c>
    </row>
    <row r="126" spans="1:12" ht="27" hidden="1" customHeight="1" x14ac:dyDescent="0.2">
      <c r="A126" s="12" t="s">
        <v>196</v>
      </c>
      <c r="B126" s="27" t="s">
        <v>179</v>
      </c>
      <c r="C126" s="132">
        <v>0</v>
      </c>
      <c r="D126" s="125">
        <v>0</v>
      </c>
      <c r="E126" s="132">
        <v>0</v>
      </c>
      <c r="F126" s="132">
        <v>0</v>
      </c>
      <c r="G126" s="125">
        <v>0</v>
      </c>
      <c r="H126" s="144">
        <f t="shared" si="65"/>
        <v>0</v>
      </c>
      <c r="I126" s="153" t="e">
        <f>G126/E126</f>
        <v>#DIV/0!</v>
      </c>
      <c r="J126" s="185">
        <f t="shared" si="66"/>
        <v>0</v>
      </c>
      <c r="K126" s="186" t="e">
        <f>G126/D126</f>
        <v>#DIV/0!</v>
      </c>
      <c r="L126" s="194">
        <f t="shared" si="67"/>
        <v>0</v>
      </c>
    </row>
    <row r="127" spans="1:12" ht="40.5" x14ac:dyDescent="0.2">
      <c r="A127" s="12" t="s">
        <v>188</v>
      </c>
      <c r="B127" s="27" t="s">
        <v>189</v>
      </c>
      <c r="C127" s="132">
        <v>0</v>
      </c>
      <c r="D127" s="132">
        <v>0</v>
      </c>
      <c r="E127" s="132">
        <v>2399.5</v>
      </c>
      <c r="F127" s="132">
        <v>2433.5</v>
      </c>
      <c r="G127" s="132">
        <v>0</v>
      </c>
      <c r="H127" s="144">
        <f t="shared" si="65"/>
        <v>0</v>
      </c>
      <c r="I127" s="153">
        <f>G127/E127</f>
        <v>0</v>
      </c>
      <c r="J127" s="185">
        <f t="shared" si="66"/>
        <v>0</v>
      </c>
      <c r="K127" s="186">
        <v>0</v>
      </c>
      <c r="L127" s="194">
        <f t="shared" si="67"/>
        <v>-2433.5</v>
      </c>
    </row>
    <row r="128" spans="1:12" ht="27" hidden="1" customHeight="1" x14ac:dyDescent="0.2">
      <c r="A128" s="166" t="s">
        <v>197</v>
      </c>
      <c r="B128" s="27" t="s">
        <v>289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44">
        <f t="shared" si="65"/>
        <v>0</v>
      </c>
      <c r="I128" s="153">
        <v>0</v>
      </c>
      <c r="J128" s="185">
        <f t="shared" si="66"/>
        <v>0</v>
      </c>
      <c r="K128" s="186">
        <v>0</v>
      </c>
      <c r="L128" s="194">
        <f t="shared" si="67"/>
        <v>0</v>
      </c>
    </row>
    <row r="129" spans="1:12" ht="40.5" x14ac:dyDescent="0.2">
      <c r="A129" s="166" t="s">
        <v>224</v>
      </c>
      <c r="B129" s="27" t="s">
        <v>159</v>
      </c>
      <c r="C129" s="132">
        <v>6732.7</v>
      </c>
      <c r="D129" s="132">
        <v>7742.5</v>
      </c>
      <c r="E129" s="132">
        <v>3947.5</v>
      </c>
      <c r="F129" s="132">
        <v>6472.4</v>
      </c>
      <c r="G129" s="132">
        <v>7742.5</v>
      </c>
      <c r="H129" s="144">
        <f t="shared" si="65"/>
        <v>5.0000000000000001E-3</v>
      </c>
      <c r="I129" s="153">
        <f>G129/E129</f>
        <v>1.9610000000000001</v>
      </c>
      <c r="J129" s="185">
        <f t="shared" si="66"/>
        <v>0</v>
      </c>
      <c r="K129" s="186">
        <f>G129/D129</f>
        <v>1</v>
      </c>
      <c r="L129" s="194">
        <f t="shared" si="67"/>
        <v>1270.0999999999999</v>
      </c>
    </row>
    <row r="130" spans="1:12" ht="27" x14ac:dyDescent="0.2">
      <c r="A130" s="166" t="s">
        <v>293</v>
      </c>
      <c r="B130" s="27" t="s">
        <v>225</v>
      </c>
      <c r="C130" s="132">
        <v>1150</v>
      </c>
      <c r="D130" s="132">
        <v>1664.8</v>
      </c>
      <c r="E130" s="132">
        <f>132.6+105.9</f>
        <v>238.5</v>
      </c>
      <c r="F130" s="132">
        <v>968.2</v>
      </c>
      <c r="G130" s="132">
        <v>1313.6</v>
      </c>
      <c r="H130" s="144">
        <f t="shared" si="65"/>
        <v>1E-3</v>
      </c>
      <c r="I130" s="153">
        <f>G130/E130</f>
        <v>5.508</v>
      </c>
      <c r="J130" s="185">
        <f t="shared" si="66"/>
        <v>-351.2</v>
      </c>
      <c r="K130" s="186">
        <f>G130/D130</f>
        <v>0.78900000000000003</v>
      </c>
      <c r="L130" s="194">
        <f t="shared" si="67"/>
        <v>345.4</v>
      </c>
    </row>
    <row r="131" spans="1:12" x14ac:dyDescent="0.2">
      <c r="A131" s="12"/>
      <c r="B131" s="117" t="s">
        <v>170</v>
      </c>
      <c r="C131" s="132"/>
      <c r="D131" s="132"/>
      <c r="E131" s="132"/>
      <c r="F131" s="132"/>
      <c r="G131" s="132"/>
      <c r="H131" s="151"/>
      <c r="I131" s="153"/>
      <c r="J131" s="185"/>
      <c r="K131" s="186"/>
      <c r="L131" s="194"/>
    </row>
    <row r="132" spans="1:12" ht="27" x14ac:dyDescent="0.2">
      <c r="A132" s="12"/>
      <c r="B132" s="27" t="s">
        <v>244</v>
      </c>
      <c r="C132" s="132">
        <f>SUM(C133:C135)</f>
        <v>0</v>
      </c>
      <c r="D132" s="132">
        <f>SUM(D133:D135)</f>
        <v>464.3</v>
      </c>
      <c r="E132" s="132">
        <f>SUM(E133:E135)</f>
        <v>132.6</v>
      </c>
      <c r="F132" s="132">
        <f>SUM(F133:F135)</f>
        <v>523.4</v>
      </c>
      <c r="G132" s="132">
        <f>SUM(G133:G135)</f>
        <v>143.1</v>
      </c>
      <c r="H132" s="144">
        <f t="shared" ref="H132:H138" si="68">G132/$G$231</f>
        <v>0</v>
      </c>
      <c r="I132" s="153">
        <f>G132/E132</f>
        <v>1.079</v>
      </c>
      <c r="J132" s="185">
        <f t="shared" ref="J132:J141" si="69">G132-D132</f>
        <v>-321.2</v>
      </c>
      <c r="K132" s="186">
        <f>G132/D132</f>
        <v>0.308</v>
      </c>
      <c r="L132" s="194">
        <f t="shared" si="67"/>
        <v>-380.3</v>
      </c>
    </row>
    <row r="133" spans="1:12" ht="13.5" customHeight="1" x14ac:dyDescent="0.2">
      <c r="A133" s="79"/>
      <c r="B133" s="219" t="s">
        <v>95</v>
      </c>
      <c r="C133" s="87">
        <v>0</v>
      </c>
      <c r="D133" s="87">
        <v>0</v>
      </c>
      <c r="E133" s="87"/>
      <c r="F133" s="87">
        <v>266.10000000000002</v>
      </c>
      <c r="G133" s="87">
        <v>0</v>
      </c>
      <c r="H133" s="145">
        <f t="shared" si="68"/>
        <v>0</v>
      </c>
      <c r="I133" s="153"/>
      <c r="J133" s="185">
        <f t="shared" si="69"/>
        <v>0</v>
      </c>
      <c r="K133" s="186">
        <v>0</v>
      </c>
      <c r="L133" s="194">
        <f t="shared" si="67"/>
        <v>-266.10000000000002</v>
      </c>
    </row>
    <row r="134" spans="1:12" x14ac:dyDescent="0.2">
      <c r="A134" s="73"/>
      <c r="B134" s="74" t="s">
        <v>247</v>
      </c>
      <c r="C134" s="87">
        <v>0</v>
      </c>
      <c r="D134" s="87">
        <v>464.3</v>
      </c>
      <c r="E134" s="87">
        <v>120.7</v>
      </c>
      <c r="F134" s="87">
        <v>117.1</v>
      </c>
      <c r="G134" s="87">
        <v>143.1</v>
      </c>
      <c r="H134" s="145">
        <f t="shared" si="68"/>
        <v>0</v>
      </c>
      <c r="I134" s="153">
        <f>G134/E134</f>
        <v>1.1859999999999999</v>
      </c>
      <c r="J134" s="185">
        <f t="shared" si="69"/>
        <v>-321.2</v>
      </c>
      <c r="K134" s="186">
        <f t="shared" ref="K134:K141" si="70">G134/D134</f>
        <v>0.308</v>
      </c>
      <c r="L134" s="194">
        <f t="shared" si="67"/>
        <v>26</v>
      </c>
    </row>
    <row r="135" spans="1:12" ht="13.5" customHeight="1" x14ac:dyDescent="0.2">
      <c r="A135" s="73"/>
      <c r="B135" s="74" t="s">
        <v>248</v>
      </c>
      <c r="C135" s="87">
        <v>0</v>
      </c>
      <c r="D135" s="87">
        <v>0</v>
      </c>
      <c r="E135" s="87">
        <v>11.9</v>
      </c>
      <c r="F135" s="87">
        <v>140.19999999999999</v>
      </c>
      <c r="G135" s="87">
        <v>0</v>
      </c>
      <c r="H135" s="145">
        <f t="shared" si="68"/>
        <v>0</v>
      </c>
      <c r="I135" s="153">
        <f>G135/E135</f>
        <v>0</v>
      </c>
      <c r="J135" s="185">
        <f t="shared" si="69"/>
        <v>0</v>
      </c>
      <c r="K135" s="186">
        <v>0</v>
      </c>
      <c r="L135" s="194">
        <f t="shared" si="67"/>
        <v>-140.19999999999999</v>
      </c>
    </row>
    <row r="136" spans="1:12" ht="34.5" customHeight="1" x14ac:dyDescent="0.2">
      <c r="A136" s="166" t="s">
        <v>198</v>
      </c>
      <c r="B136" s="27" t="s">
        <v>259</v>
      </c>
      <c r="C136" s="132">
        <v>1000</v>
      </c>
      <c r="D136" s="132">
        <v>0</v>
      </c>
      <c r="E136" s="132">
        <v>0</v>
      </c>
      <c r="F136" s="132">
        <v>815</v>
      </c>
      <c r="G136" s="132">
        <v>0</v>
      </c>
      <c r="H136" s="151">
        <f t="shared" si="68"/>
        <v>0</v>
      </c>
      <c r="I136" s="153">
        <v>0</v>
      </c>
      <c r="J136" s="185">
        <f t="shared" si="69"/>
        <v>0</v>
      </c>
      <c r="K136" s="186">
        <v>0</v>
      </c>
      <c r="L136" s="194">
        <f t="shared" si="67"/>
        <v>-815</v>
      </c>
    </row>
    <row r="137" spans="1:12" ht="13.5" customHeight="1" x14ac:dyDescent="0.2">
      <c r="A137" s="12"/>
      <c r="B137" s="27" t="s">
        <v>178</v>
      </c>
      <c r="C137" s="132">
        <v>0</v>
      </c>
      <c r="D137" s="132">
        <v>0</v>
      </c>
      <c r="E137" s="132">
        <v>0</v>
      </c>
      <c r="F137" s="132">
        <v>225.4</v>
      </c>
      <c r="G137" s="132">
        <v>0</v>
      </c>
      <c r="H137" s="151">
        <f t="shared" si="68"/>
        <v>0</v>
      </c>
      <c r="I137" s="153" t="e">
        <f>G137/E137</f>
        <v>#DIV/0!</v>
      </c>
      <c r="J137" s="185">
        <f t="shared" si="69"/>
        <v>0</v>
      </c>
      <c r="K137" s="186">
        <v>0</v>
      </c>
      <c r="L137" s="194">
        <f t="shared" si="67"/>
        <v>-225.4</v>
      </c>
    </row>
    <row r="138" spans="1:12" s="169" customFormat="1" ht="13.5" hidden="1" customHeight="1" x14ac:dyDescent="0.2">
      <c r="A138" s="167" t="s">
        <v>138</v>
      </c>
      <c r="B138" s="170" t="s">
        <v>139</v>
      </c>
      <c r="C138" s="131">
        <v>0</v>
      </c>
      <c r="D138" s="131">
        <v>0</v>
      </c>
      <c r="E138" s="131"/>
      <c r="F138" s="131">
        <v>9.1999999999999993</v>
      </c>
      <c r="G138" s="131">
        <v>9.1999999999999993</v>
      </c>
      <c r="H138" s="151">
        <f t="shared" si="68"/>
        <v>0</v>
      </c>
      <c r="I138" s="153" t="e">
        <f>G138/E138</f>
        <v>#DIV/0!</v>
      </c>
      <c r="J138" s="185">
        <f t="shared" si="69"/>
        <v>9.1999999999999993</v>
      </c>
      <c r="K138" s="186" t="e">
        <f t="shared" si="70"/>
        <v>#DIV/0!</v>
      </c>
      <c r="L138" s="194">
        <f t="shared" si="67"/>
        <v>0</v>
      </c>
    </row>
    <row r="139" spans="1:12" ht="13.5" hidden="1" customHeight="1" x14ac:dyDescent="0.2">
      <c r="A139" s="12"/>
      <c r="B139" s="8" t="s">
        <v>26</v>
      </c>
      <c r="C139" s="8"/>
      <c r="D139" s="131"/>
      <c r="E139" s="131"/>
      <c r="F139" s="5"/>
      <c r="G139" s="5"/>
      <c r="H139" s="151"/>
      <c r="I139" s="153" t="e">
        <f>G139/E139</f>
        <v>#DIV/0!</v>
      </c>
      <c r="J139" s="185">
        <f t="shared" si="69"/>
        <v>0</v>
      </c>
      <c r="K139" s="186" t="e">
        <f t="shared" si="70"/>
        <v>#DIV/0!</v>
      </c>
      <c r="L139" s="194">
        <f t="shared" si="67"/>
        <v>0</v>
      </c>
    </row>
    <row r="140" spans="1:12" ht="13.5" hidden="1" customHeight="1" x14ac:dyDescent="0.2">
      <c r="A140" s="12"/>
      <c r="B140" s="7" t="s">
        <v>92</v>
      </c>
      <c r="C140" s="131"/>
      <c r="D140" s="131"/>
      <c r="E140" s="131"/>
      <c r="F140" s="5"/>
      <c r="G140" s="5"/>
      <c r="H140" s="151">
        <f>G140/$G$231</f>
        <v>0</v>
      </c>
      <c r="I140" s="153" t="e">
        <f>G140/E140</f>
        <v>#DIV/0!</v>
      </c>
      <c r="J140" s="185">
        <f t="shared" si="69"/>
        <v>0</v>
      </c>
      <c r="K140" s="186" t="e">
        <f t="shared" si="70"/>
        <v>#DIV/0!</v>
      </c>
      <c r="L140" s="194">
        <f t="shared" si="67"/>
        <v>0</v>
      </c>
    </row>
    <row r="141" spans="1:12" x14ac:dyDescent="0.2">
      <c r="A141" s="12" t="s">
        <v>41</v>
      </c>
      <c r="B141" s="8" t="s">
        <v>42</v>
      </c>
      <c r="C141" s="131">
        <f>C145+C146+C147+C148+C143+C144</f>
        <v>214391.1</v>
      </c>
      <c r="D141" s="131">
        <f>D145+D146+D147+D148+D143+D144+D156+D157+D158</f>
        <v>217497.7</v>
      </c>
      <c r="E141" s="131">
        <f>E145+E146+E147+E148+E143+E144+E156+E157+E158</f>
        <v>147797.1</v>
      </c>
      <c r="F141" s="131">
        <f>F145+F146+F147+F148+F143+F144+F156+F157+F158</f>
        <v>236806.1</v>
      </c>
      <c r="G141" s="131">
        <f>G143+G144+G145+G146+G147+G156+G157+G158</f>
        <v>209921</v>
      </c>
      <c r="H141" s="151">
        <f>G141/$G$231</f>
        <v>0.14199999999999999</v>
      </c>
      <c r="I141" s="153">
        <f>G141/E141</f>
        <v>1.42</v>
      </c>
      <c r="J141" s="185">
        <f t="shared" si="69"/>
        <v>-7576.7</v>
      </c>
      <c r="K141" s="186">
        <f t="shared" si="70"/>
        <v>0.96499999999999997</v>
      </c>
      <c r="L141" s="194">
        <f t="shared" si="67"/>
        <v>-26885.1</v>
      </c>
    </row>
    <row r="142" spans="1:12" x14ac:dyDescent="0.2">
      <c r="A142" s="12"/>
      <c r="B142" s="8" t="s">
        <v>26</v>
      </c>
      <c r="C142" s="8"/>
      <c r="D142" s="131"/>
      <c r="E142" s="5"/>
      <c r="F142" s="5"/>
      <c r="G142" s="5"/>
      <c r="H142" s="151"/>
      <c r="I142" s="153"/>
      <c r="J142" s="185"/>
      <c r="K142" s="186"/>
      <c r="L142" s="194"/>
    </row>
    <row r="143" spans="1:12" ht="27" x14ac:dyDescent="0.2">
      <c r="A143" s="12" t="s">
        <v>214</v>
      </c>
      <c r="B143" s="27" t="s">
        <v>215</v>
      </c>
      <c r="C143" s="132">
        <v>500</v>
      </c>
      <c r="D143" s="132">
        <v>500</v>
      </c>
      <c r="E143" s="132">
        <v>0</v>
      </c>
      <c r="F143" s="132">
        <v>0</v>
      </c>
      <c r="G143" s="132">
        <v>500</v>
      </c>
      <c r="H143" s="151">
        <f>G143/$G$231</f>
        <v>0</v>
      </c>
      <c r="I143" s="153">
        <v>0</v>
      </c>
      <c r="J143" s="185">
        <f>G143-D143</f>
        <v>0</v>
      </c>
      <c r="K143" s="186">
        <f t="shared" ref="K143:K148" si="71">G143/D143</f>
        <v>1</v>
      </c>
      <c r="L143" s="194">
        <f>G143-F143</f>
        <v>500</v>
      </c>
    </row>
    <row r="144" spans="1:12" ht="67.5" x14ac:dyDescent="0.2">
      <c r="A144" s="166" t="s">
        <v>257</v>
      </c>
      <c r="B144" s="8" t="s">
        <v>243</v>
      </c>
      <c r="C144" s="131">
        <v>102086.3</v>
      </c>
      <c r="D144" s="131">
        <v>100412.7</v>
      </c>
      <c r="E144" s="5">
        <v>68256.899999999994</v>
      </c>
      <c r="F144" s="5">
        <v>93702.6</v>
      </c>
      <c r="G144" s="5">
        <v>99788.7</v>
      </c>
      <c r="H144" s="144">
        <f>G144/$G$231</f>
        <v>6.7000000000000004E-2</v>
      </c>
      <c r="I144" s="153">
        <v>0</v>
      </c>
      <c r="J144" s="185">
        <f>G144-D144</f>
        <v>-624</v>
      </c>
      <c r="K144" s="186">
        <f t="shared" si="71"/>
        <v>0.99399999999999999</v>
      </c>
      <c r="L144" s="194">
        <f t="shared" si="67"/>
        <v>6086.1</v>
      </c>
    </row>
    <row r="145" spans="1:12" x14ac:dyDescent="0.2">
      <c r="A145" s="12" t="s">
        <v>183</v>
      </c>
      <c r="B145" s="7" t="s">
        <v>92</v>
      </c>
      <c r="C145" s="131">
        <v>87108.6</v>
      </c>
      <c r="D145" s="131">
        <v>80124.800000000003</v>
      </c>
      <c r="E145" s="5">
        <v>53311.7</v>
      </c>
      <c r="F145" s="5">
        <v>89431.7</v>
      </c>
      <c r="G145" s="5">
        <v>80124.800000000003</v>
      </c>
      <c r="H145" s="144">
        <f>G145/$G$231</f>
        <v>5.3999999999999999E-2</v>
      </c>
      <c r="I145" s="153">
        <f>G145/E145</f>
        <v>1.5029999999999999</v>
      </c>
      <c r="J145" s="185">
        <f>G145-D145</f>
        <v>0</v>
      </c>
      <c r="K145" s="186">
        <f t="shared" si="71"/>
        <v>1</v>
      </c>
      <c r="L145" s="194">
        <f t="shared" si="67"/>
        <v>-9306.9</v>
      </c>
    </row>
    <row r="146" spans="1:12" ht="27" x14ac:dyDescent="0.2">
      <c r="A146" s="166" t="s">
        <v>199</v>
      </c>
      <c r="B146" s="7" t="s">
        <v>258</v>
      </c>
      <c r="C146" s="131">
        <v>10056.1</v>
      </c>
      <c r="D146" s="131">
        <v>9031.7999999999993</v>
      </c>
      <c r="E146" s="5">
        <v>2391.5</v>
      </c>
      <c r="F146" s="5">
        <v>12073.5</v>
      </c>
      <c r="G146" s="5">
        <v>7912.2</v>
      </c>
      <c r="H146" s="144">
        <f>G146/$G$231</f>
        <v>5.0000000000000001E-3</v>
      </c>
      <c r="I146" s="153">
        <f>G146/E146</f>
        <v>3.3079999999999998</v>
      </c>
      <c r="J146" s="185">
        <f>G146-D146</f>
        <v>-1119.5999999999999</v>
      </c>
      <c r="K146" s="186">
        <f t="shared" si="71"/>
        <v>0.876</v>
      </c>
      <c r="L146" s="194">
        <f t="shared" si="67"/>
        <v>-4161.3</v>
      </c>
    </row>
    <row r="147" spans="1:12" ht="27" x14ac:dyDescent="0.2">
      <c r="A147" s="166" t="s">
        <v>290</v>
      </c>
      <c r="B147" s="7" t="s">
        <v>216</v>
      </c>
      <c r="C147" s="131">
        <v>14640.1</v>
      </c>
      <c r="D147" s="131">
        <f>26391.5-141.5</f>
        <v>26250</v>
      </c>
      <c r="E147" s="5">
        <v>20307.5</v>
      </c>
      <c r="F147" s="5">
        <v>40161.800000000003</v>
      </c>
      <c r="G147" s="5">
        <f>20558.5-141.5-0.1</f>
        <v>20416.900000000001</v>
      </c>
      <c r="H147" s="151">
        <f>G147/$G$231</f>
        <v>1.4E-2</v>
      </c>
      <c r="I147" s="153">
        <f>G147/E147</f>
        <v>1.0049999999999999</v>
      </c>
      <c r="J147" s="185">
        <f>G147-D147</f>
        <v>-5833.1</v>
      </c>
      <c r="K147" s="186">
        <f t="shared" si="71"/>
        <v>0.77800000000000002</v>
      </c>
      <c r="L147" s="194">
        <f t="shared" si="67"/>
        <v>-19744.900000000001</v>
      </c>
    </row>
    <row r="148" spans="1:12" s="169" customFormat="1" ht="27" hidden="1" customHeight="1" x14ac:dyDescent="0.2">
      <c r="A148" s="167"/>
      <c r="B148" s="168" t="s">
        <v>171</v>
      </c>
      <c r="C148" s="131">
        <v>0</v>
      </c>
      <c r="D148" s="131">
        <v>0</v>
      </c>
      <c r="E148" s="124">
        <v>2729.5</v>
      </c>
      <c r="F148" s="124">
        <v>0</v>
      </c>
      <c r="G148" s="124">
        <v>2729.5</v>
      </c>
      <c r="H148" s="128">
        <v>0</v>
      </c>
      <c r="I148" s="153">
        <f>G148/E148</f>
        <v>1</v>
      </c>
      <c r="J148" s="185">
        <v>0</v>
      </c>
      <c r="K148" s="186" t="e">
        <f t="shared" si="71"/>
        <v>#DIV/0!</v>
      </c>
      <c r="L148" s="194">
        <f t="shared" si="67"/>
        <v>2729.5</v>
      </c>
    </row>
    <row r="149" spans="1:12" ht="12.75" customHeight="1" x14ac:dyDescent="0.2">
      <c r="A149" s="12"/>
      <c r="B149" s="7" t="s">
        <v>26</v>
      </c>
      <c r="C149" s="131"/>
      <c r="D149" s="131"/>
      <c r="E149" s="5"/>
      <c r="F149" s="5"/>
      <c r="G149" s="5"/>
      <c r="H149" s="151"/>
      <c r="I149" s="153"/>
      <c r="J149" s="185"/>
      <c r="K149" s="186"/>
      <c r="L149" s="194"/>
    </row>
    <row r="150" spans="1:12" ht="27" x14ac:dyDescent="0.2">
      <c r="A150" s="12"/>
      <c r="B150" s="114" t="s">
        <v>244</v>
      </c>
      <c r="C150" s="131">
        <f t="shared" ref="C150:G150" si="72">SUM(C151:C155)</f>
        <v>13272.7</v>
      </c>
      <c r="D150" s="131">
        <f t="shared" si="72"/>
        <v>21114.400000000001</v>
      </c>
      <c r="E150" s="131">
        <f t="shared" si="72"/>
        <v>7516.3</v>
      </c>
      <c r="F150" s="131">
        <f t="shared" si="72"/>
        <v>16607</v>
      </c>
      <c r="G150" s="131">
        <f t="shared" si="72"/>
        <v>15481.4</v>
      </c>
      <c r="H150" s="151">
        <f t="shared" ref="H150:H162" si="73">G150/$G$231</f>
        <v>0.01</v>
      </c>
      <c r="I150" s="153">
        <f>G150/E150</f>
        <v>2.06</v>
      </c>
      <c r="J150" s="185">
        <f t="shared" ref="J150:J162" si="74">G150-D150</f>
        <v>-5633</v>
      </c>
      <c r="K150" s="186">
        <f>G150/D150</f>
        <v>0.73299999999999998</v>
      </c>
      <c r="L150" s="194">
        <f t="shared" si="67"/>
        <v>-1125.5999999999999</v>
      </c>
    </row>
    <row r="151" spans="1:12" x14ac:dyDescent="0.2">
      <c r="A151" s="79"/>
      <c r="B151" s="220" t="s">
        <v>249</v>
      </c>
      <c r="C151" s="85">
        <v>9966.7000000000007</v>
      </c>
      <c r="D151" s="85">
        <v>11548.9</v>
      </c>
      <c r="E151" s="85"/>
      <c r="F151" s="85">
        <v>8913.2000000000007</v>
      </c>
      <c r="G151" s="85">
        <v>7423.2</v>
      </c>
      <c r="H151" s="145">
        <f t="shared" si="73"/>
        <v>5.0000000000000001E-3</v>
      </c>
      <c r="I151" s="186"/>
      <c r="J151" s="185">
        <f t="shared" si="74"/>
        <v>-4125.7</v>
      </c>
      <c r="K151" s="186">
        <f>G151/D151</f>
        <v>0.64300000000000002</v>
      </c>
      <c r="L151" s="194">
        <f t="shared" si="67"/>
        <v>-1490</v>
      </c>
    </row>
    <row r="152" spans="1:12" x14ac:dyDescent="0.2">
      <c r="A152" s="73"/>
      <c r="B152" s="74" t="s">
        <v>247</v>
      </c>
      <c r="C152" s="85">
        <v>576</v>
      </c>
      <c r="D152" s="85">
        <v>1207.5999999999999</v>
      </c>
      <c r="E152" s="85">
        <v>3012.6</v>
      </c>
      <c r="F152" s="85">
        <v>647.29999999999995</v>
      </c>
      <c r="G152" s="85">
        <v>461.4</v>
      </c>
      <c r="H152" s="145">
        <f t="shared" si="73"/>
        <v>0</v>
      </c>
      <c r="I152" s="186">
        <f>G152/E152</f>
        <v>0.153</v>
      </c>
      <c r="J152" s="185">
        <f t="shared" si="74"/>
        <v>-746.2</v>
      </c>
      <c r="K152" s="186">
        <f>G152/D152</f>
        <v>0.38200000000000001</v>
      </c>
      <c r="L152" s="194">
        <f>G152-F152</f>
        <v>-185.9</v>
      </c>
    </row>
    <row r="153" spans="1:12" ht="13.5" customHeight="1" x14ac:dyDescent="0.2">
      <c r="A153" s="73"/>
      <c r="B153" s="74" t="s">
        <v>153</v>
      </c>
      <c r="C153" s="85">
        <v>0</v>
      </c>
      <c r="D153" s="85">
        <v>79</v>
      </c>
      <c r="E153" s="85">
        <v>163.30000000000001</v>
      </c>
      <c r="F153" s="85">
        <v>44.5</v>
      </c>
      <c r="G153" s="85">
        <v>79</v>
      </c>
      <c r="H153" s="145">
        <f t="shared" si="73"/>
        <v>0</v>
      </c>
      <c r="I153" s="186">
        <f>G153/E153</f>
        <v>0.48399999999999999</v>
      </c>
      <c r="J153" s="185">
        <f t="shared" si="74"/>
        <v>0</v>
      </c>
      <c r="K153" s="186">
        <f>G153/D153</f>
        <v>1</v>
      </c>
      <c r="L153" s="194">
        <f t="shared" ref="L153:L158" si="75">G153-F153</f>
        <v>34.5</v>
      </c>
    </row>
    <row r="154" spans="1:12" ht="13.5" customHeight="1" x14ac:dyDescent="0.2">
      <c r="A154" s="73"/>
      <c r="B154" s="74" t="s">
        <v>156</v>
      </c>
      <c r="C154" s="85">
        <v>221.5</v>
      </c>
      <c r="D154" s="85">
        <v>0</v>
      </c>
      <c r="E154" s="123">
        <v>0</v>
      </c>
      <c r="F154" s="85">
        <v>58.3</v>
      </c>
      <c r="G154" s="85">
        <v>0</v>
      </c>
      <c r="H154" s="145">
        <f t="shared" si="73"/>
        <v>0</v>
      </c>
      <c r="I154" s="186">
        <v>0</v>
      </c>
      <c r="J154" s="185">
        <f t="shared" si="74"/>
        <v>0</v>
      </c>
      <c r="K154" s="186">
        <v>0</v>
      </c>
      <c r="L154" s="194">
        <f t="shared" si="75"/>
        <v>-58.3</v>
      </c>
    </row>
    <row r="155" spans="1:12" x14ac:dyDescent="0.2">
      <c r="A155" s="73"/>
      <c r="B155" s="74" t="s">
        <v>154</v>
      </c>
      <c r="C155" s="85">
        <f>2730-221.5</f>
        <v>2508.5</v>
      </c>
      <c r="D155" s="85">
        <v>8278.9</v>
      </c>
      <c r="E155" s="85">
        <v>4340.3999999999996</v>
      </c>
      <c r="F155" s="85">
        <f>7002-58.3</f>
        <v>6943.7</v>
      </c>
      <c r="G155" s="85">
        <v>7517.8</v>
      </c>
      <c r="H155" s="145">
        <f t="shared" si="73"/>
        <v>5.0000000000000001E-3</v>
      </c>
      <c r="I155" s="186">
        <f>G155/E155</f>
        <v>1.732</v>
      </c>
      <c r="J155" s="185">
        <f t="shared" si="74"/>
        <v>-761.1</v>
      </c>
      <c r="K155" s="186">
        <f t="shared" ref="K155:K162" si="76">G155/D155</f>
        <v>0.90800000000000003</v>
      </c>
      <c r="L155" s="194">
        <f t="shared" si="75"/>
        <v>574.1</v>
      </c>
    </row>
    <row r="156" spans="1:12" ht="27" x14ac:dyDescent="0.2">
      <c r="A156" s="12" t="s">
        <v>242</v>
      </c>
      <c r="B156" s="7" t="s">
        <v>241</v>
      </c>
      <c r="C156" s="131">
        <v>0</v>
      </c>
      <c r="D156" s="131">
        <v>67.8</v>
      </c>
      <c r="E156" s="5">
        <v>800</v>
      </c>
      <c r="F156" s="5">
        <v>800</v>
      </c>
      <c r="G156" s="5">
        <v>67.8</v>
      </c>
      <c r="H156" s="151">
        <f t="shared" si="73"/>
        <v>0</v>
      </c>
      <c r="I156" s="186">
        <f>G156/E156</f>
        <v>8.5000000000000006E-2</v>
      </c>
      <c r="J156" s="185">
        <f t="shared" si="74"/>
        <v>0</v>
      </c>
      <c r="K156" s="186">
        <f t="shared" si="76"/>
        <v>1</v>
      </c>
      <c r="L156" s="194">
        <f t="shared" si="75"/>
        <v>-732.2</v>
      </c>
    </row>
    <row r="157" spans="1:12" ht="54" customHeight="1" x14ac:dyDescent="0.2">
      <c r="A157" s="12" t="s">
        <v>240</v>
      </c>
      <c r="B157" s="7" t="s">
        <v>313</v>
      </c>
      <c r="C157" s="131">
        <v>0</v>
      </c>
      <c r="D157" s="131">
        <v>969.1</v>
      </c>
      <c r="E157" s="5">
        <v>0</v>
      </c>
      <c r="F157" s="5">
        <v>554.9</v>
      </c>
      <c r="G157" s="5">
        <v>969.1</v>
      </c>
      <c r="H157" s="151">
        <f t="shared" si="73"/>
        <v>1E-3</v>
      </c>
      <c r="I157" s="186">
        <v>0</v>
      </c>
      <c r="J157" s="185">
        <f t="shared" si="74"/>
        <v>0</v>
      </c>
      <c r="K157" s="186">
        <f t="shared" si="76"/>
        <v>1</v>
      </c>
      <c r="L157" s="194">
        <f t="shared" si="75"/>
        <v>414.2</v>
      </c>
    </row>
    <row r="158" spans="1:12" ht="13.5" customHeight="1" x14ac:dyDescent="0.2">
      <c r="A158" s="12"/>
      <c r="B158" s="7" t="s">
        <v>178</v>
      </c>
      <c r="C158" s="131">
        <v>0</v>
      </c>
      <c r="D158" s="131">
        <v>141.5</v>
      </c>
      <c r="E158" s="5"/>
      <c r="F158" s="5">
        <v>81.599999999999994</v>
      </c>
      <c r="G158" s="5">
        <v>141.5</v>
      </c>
      <c r="H158" s="151">
        <f t="shared" si="73"/>
        <v>0</v>
      </c>
      <c r="I158" s="186"/>
      <c r="J158" s="185">
        <f t="shared" si="74"/>
        <v>0</v>
      </c>
      <c r="K158" s="186">
        <f t="shared" si="76"/>
        <v>1</v>
      </c>
      <c r="L158" s="194">
        <f t="shared" si="75"/>
        <v>59.9</v>
      </c>
    </row>
    <row r="159" spans="1:12" s="1" customFormat="1" ht="27" x14ac:dyDescent="0.2">
      <c r="A159" s="12" t="s">
        <v>55</v>
      </c>
      <c r="B159" s="7" t="s">
        <v>56</v>
      </c>
      <c r="C159" s="131">
        <f>C161+C160</f>
        <v>1638.1</v>
      </c>
      <c r="D159" s="131">
        <f t="shared" ref="D159:G159" si="77">D161+D160</f>
        <v>895.3</v>
      </c>
      <c r="E159" s="131">
        <f t="shared" si="77"/>
        <v>757.8</v>
      </c>
      <c r="F159" s="131">
        <f t="shared" si="77"/>
        <v>919.8</v>
      </c>
      <c r="G159" s="131">
        <f t="shared" si="77"/>
        <v>895.3</v>
      </c>
      <c r="H159" s="144">
        <f t="shared" si="73"/>
        <v>1E-3</v>
      </c>
      <c r="I159" s="153">
        <f>G159/E159</f>
        <v>1.181</v>
      </c>
      <c r="J159" s="185">
        <f t="shared" si="74"/>
        <v>0</v>
      </c>
      <c r="K159" s="186">
        <f t="shared" si="76"/>
        <v>1</v>
      </c>
      <c r="L159" s="194">
        <f>G159-F159</f>
        <v>-24.5</v>
      </c>
    </row>
    <row r="160" spans="1:12" s="1" customFormat="1" x14ac:dyDescent="0.2">
      <c r="A160" s="12"/>
      <c r="B160" s="7" t="s">
        <v>315</v>
      </c>
      <c r="C160" s="131">
        <v>0</v>
      </c>
      <c r="D160" s="131">
        <v>93</v>
      </c>
      <c r="E160" s="131"/>
      <c r="F160" s="131">
        <v>0</v>
      </c>
      <c r="G160" s="131">
        <v>93</v>
      </c>
      <c r="H160" s="144">
        <f t="shared" si="73"/>
        <v>0</v>
      </c>
      <c r="I160" s="153"/>
      <c r="J160" s="185">
        <f t="shared" si="74"/>
        <v>0</v>
      </c>
      <c r="K160" s="186">
        <f t="shared" si="76"/>
        <v>1</v>
      </c>
      <c r="L160" s="194">
        <f>G160-F160</f>
        <v>93</v>
      </c>
    </row>
    <row r="161" spans="1:12" s="1" customFormat="1" ht="17.25" customHeight="1" x14ac:dyDescent="0.2">
      <c r="A161" s="12"/>
      <c r="B161" s="7" t="s">
        <v>160</v>
      </c>
      <c r="C161" s="131">
        <v>1638.1</v>
      </c>
      <c r="D161" s="131">
        <v>802.3</v>
      </c>
      <c r="E161" s="5">
        <v>757.8</v>
      </c>
      <c r="F161" s="5">
        <v>919.8</v>
      </c>
      <c r="G161" s="5">
        <v>802.3</v>
      </c>
      <c r="H161" s="144">
        <f t="shared" si="73"/>
        <v>1E-3</v>
      </c>
      <c r="I161" s="153">
        <f>G161/E161</f>
        <v>1.0589999999999999</v>
      </c>
      <c r="J161" s="185">
        <f t="shared" si="74"/>
        <v>0</v>
      </c>
      <c r="K161" s="186">
        <f t="shared" si="76"/>
        <v>1</v>
      </c>
      <c r="L161" s="194">
        <f>G161-F161</f>
        <v>-117.5</v>
      </c>
    </row>
    <row r="162" spans="1:12" s="1" customFormat="1" ht="13.5" hidden="1" customHeight="1" x14ac:dyDescent="0.2">
      <c r="A162" s="12"/>
      <c r="B162" s="7" t="s">
        <v>161</v>
      </c>
      <c r="C162" s="76">
        <v>0</v>
      </c>
      <c r="D162" s="131">
        <v>0</v>
      </c>
      <c r="E162" s="5">
        <v>0</v>
      </c>
      <c r="F162" s="5">
        <v>0</v>
      </c>
      <c r="G162" s="5">
        <v>0</v>
      </c>
      <c r="H162" s="144">
        <f t="shared" si="73"/>
        <v>0</v>
      </c>
      <c r="I162" s="153" t="e">
        <f>G162/E162</f>
        <v>#DIV/0!</v>
      </c>
      <c r="J162" s="185">
        <f t="shared" si="74"/>
        <v>0</v>
      </c>
      <c r="K162" s="186" t="e">
        <f t="shared" si="76"/>
        <v>#DIV/0!</v>
      </c>
      <c r="L162" s="194" t="e">
        <f>G162-#REF!</f>
        <v>#REF!</v>
      </c>
    </row>
    <row r="163" spans="1:12" x14ac:dyDescent="0.2">
      <c r="A163" s="12"/>
      <c r="B163" s="6" t="s">
        <v>121</v>
      </c>
      <c r="C163" s="6"/>
      <c r="D163" s="5"/>
      <c r="E163" s="5"/>
      <c r="F163" s="5"/>
      <c r="G163" s="5"/>
      <c r="H163" s="151"/>
      <c r="I163" s="153"/>
      <c r="J163" s="185"/>
      <c r="K163" s="186"/>
      <c r="L163" s="194"/>
    </row>
    <row r="164" spans="1:12" x14ac:dyDescent="0.2">
      <c r="A164" s="12"/>
      <c r="B164" s="7" t="s">
        <v>95</v>
      </c>
      <c r="C164" s="5">
        <v>9966.7000000000007</v>
      </c>
      <c r="D164" s="5">
        <v>11548.9</v>
      </c>
      <c r="E164" s="5">
        <v>3133.2</v>
      </c>
      <c r="F164" s="5">
        <v>9179.2999999999993</v>
      </c>
      <c r="G164" s="5">
        <v>7423.2</v>
      </c>
      <c r="H164" s="151">
        <f t="shared" ref="H164:H170" si="78">G164/$G$231</f>
        <v>5.0000000000000001E-3</v>
      </c>
      <c r="I164" s="153">
        <f t="shared" ref="I164:I170" si="79">G164/E164</f>
        <v>2.3690000000000002</v>
      </c>
      <c r="J164" s="185">
        <f t="shared" ref="J164:J170" si="80">G164-D164</f>
        <v>-4125.7</v>
      </c>
      <c r="K164" s="186">
        <f t="shared" ref="K164:K170" si="81">G164/D164</f>
        <v>0.64300000000000002</v>
      </c>
      <c r="L164" s="194">
        <f>G164-F164</f>
        <v>-1756.1</v>
      </c>
    </row>
    <row r="165" spans="1:12" s="100" customFormat="1" ht="13.5" hidden="1" customHeight="1" x14ac:dyDescent="0.2">
      <c r="A165" s="214"/>
      <c r="B165" s="215" t="s">
        <v>129</v>
      </c>
      <c r="C165" s="148"/>
      <c r="D165" s="148"/>
      <c r="E165" s="148">
        <v>0</v>
      </c>
      <c r="F165" s="148">
        <v>0</v>
      </c>
      <c r="G165" s="148">
        <v>0</v>
      </c>
      <c r="H165" s="216">
        <f t="shared" si="78"/>
        <v>0</v>
      </c>
      <c r="I165" s="153" t="e">
        <f t="shared" si="79"/>
        <v>#DIV/0!</v>
      </c>
      <c r="J165" s="197">
        <f t="shared" si="80"/>
        <v>0</v>
      </c>
      <c r="K165" s="186" t="e">
        <f t="shared" si="81"/>
        <v>#DIV/0!</v>
      </c>
      <c r="L165" s="194">
        <f t="shared" ref="L165:L166" si="82">G165-F165</f>
        <v>0</v>
      </c>
    </row>
    <row r="166" spans="1:12" x14ac:dyDescent="0.2">
      <c r="A166" s="12"/>
      <c r="B166" s="15" t="s">
        <v>137</v>
      </c>
      <c r="C166" s="131">
        <v>225388.2</v>
      </c>
      <c r="D166" s="131">
        <v>230436.7</v>
      </c>
      <c r="E166" s="131">
        <v>150235.79999999999</v>
      </c>
      <c r="F166" s="131">
        <v>246124.3</v>
      </c>
      <c r="G166" s="131">
        <v>219482.3</v>
      </c>
      <c r="H166" s="151">
        <f t="shared" si="78"/>
        <v>0.14799999999999999</v>
      </c>
      <c r="I166" s="153">
        <f t="shared" si="79"/>
        <v>1.4610000000000001</v>
      </c>
      <c r="J166" s="185">
        <f t="shared" si="80"/>
        <v>-10954.4</v>
      </c>
      <c r="K166" s="186">
        <f t="shared" si="81"/>
        <v>0.95199999999999996</v>
      </c>
      <c r="L166" s="194">
        <f t="shared" si="82"/>
        <v>-26642</v>
      </c>
    </row>
    <row r="167" spans="1:12" s="21" customFormat="1" x14ac:dyDescent="0.2">
      <c r="A167" s="62" t="s">
        <v>107</v>
      </c>
      <c r="B167" s="68" t="s">
        <v>106</v>
      </c>
      <c r="C167" s="63">
        <f>C168+C184</f>
        <v>15559</v>
      </c>
      <c r="D167" s="63">
        <f>D168+D184</f>
        <v>13169.6</v>
      </c>
      <c r="E167" s="63">
        <f t="shared" ref="E167:G167" si="83">E168+E184</f>
        <v>9131.2999999999993</v>
      </c>
      <c r="F167" s="63">
        <f t="shared" si="83"/>
        <v>13690.5</v>
      </c>
      <c r="G167" s="63">
        <f t="shared" si="83"/>
        <v>13169.6</v>
      </c>
      <c r="H167" s="64">
        <f t="shared" si="78"/>
        <v>8.9999999999999993E-3</v>
      </c>
      <c r="I167" s="153">
        <f t="shared" si="79"/>
        <v>1.4419999999999999</v>
      </c>
      <c r="J167" s="154">
        <f t="shared" si="80"/>
        <v>0</v>
      </c>
      <c r="K167" s="153">
        <f t="shared" si="81"/>
        <v>1</v>
      </c>
      <c r="L167" s="155">
        <f>G167-F167</f>
        <v>-520.9</v>
      </c>
    </row>
    <row r="168" spans="1:12" s="30" customFormat="1" x14ac:dyDescent="0.2">
      <c r="A168" s="77" t="s">
        <v>43</v>
      </c>
      <c r="B168" s="78" t="s">
        <v>51</v>
      </c>
      <c r="C168" s="147">
        <f>C169+C170</f>
        <v>14844.7</v>
      </c>
      <c r="D168" s="147">
        <f t="shared" ref="D168:G168" si="84">D169+D170</f>
        <v>12585.4</v>
      </c>
      <c r="E168" s="147">
        <f t="shared" si="84"/>
        <v>9131.2999999999993</v>
      </c>
      <c r="F168" s="147">
        <f t="shared" ref="F168" si="85">F169+F170</f>
        <v>13622.8</v>
      </c>
      <c r="G168" s="147">
        <f t="shared" si="84"/>
        <v>12585.4</v>
      </c>
      <c r="H168" s="71">
        <f t="shared" si="78"/>
        <v>8.0000000000000002E-3</v>
      </c>
      <c r="I168" s="153">
        <f t="shared" si="79"/>
        <v>1.3779999999999999</v>
      </c>
      <c r="J168" s="185">
        <f t="shared" si="80"/>
        <v>0</v>
      </c>
      <c r="K168" s="186">
        <f t="shared" si="81"/>
        <v>1</v>
      </c>
      <c r="L168" s="194">
        <f>G168-F168</f>
        <v>-1037.4000000000001</v>
      </c>
    </row>
    <row r="169" spans="1:12" ht="40.5" x14ac:dyDescent="0.2">
      <c r="A169" s="13">
        <v>611</v>
      </c>
      <c r="B169" s="7" t="s">
        <v>93</v>
      </c>
      <c r="C169" s="5">
        <v>12852.3</v>
      </c>
      <c r="D169" s="5">
        <v>11250.5</v>
      </c>
      <c r="E169" s="5">
        <v>7072.1</v>
      </c>
      <c r="F169" s="5">
        <v>10243.1</v>
      </c>
      <c r="G169" s="5">
        <v>11250.5</v>
      </c>
      <c r="H169" s="151">
        <f t="shared" si="78"/>
        <v>8.0000000000000002E-3</v>
      </c>
      <c r="I169" s="153">
        <f t="shared" si="79"/>
        <v>1.591</v>
      </c>
      <c r="J169" s="185">
        <f t="shared" si="80"/>
        <v>0</v>
      </c>
      <c r="K169" s="186">
        <f t="shared" si="81"/>
        <v>1</v>
      </c>
      <c r="L169" s="194">
        <f>G169-F169</f>
        <v>1007.4</v>
      </c>
    </row>
    <row r="170" spans="1:12" x14ac:dyDescent="0.2">
      <c r="A170" s="13">
        <v>612</v>
      </c>
      <c r="B170" s="7" t="s">
        <v>181</v>
      </c>
      <c r="C170" s="5">
        <v>1992.4</v>
      </c>
      <c r="D170" s="5">
        <v>1334.9</v>
      </c>
      <c r="E170" s="5">
        <f>3259.1-1199.9</f>
        <v>2059.1999999999998</v>
      </c>
      <c r="F170" s="5">
        <v>3379.7</v>
      </c>
      <c r="G170" s="5">
        <v>1334.9</v>
      </c>
      <c r="H170" s="151">
        <f t="shared" si="78"/>
        <v>1E-3</v>
      </c>
      <c r="I170" s="186">
        <f t="shared" si="79"/>
        <v>0.64800000000000002</v>
      </c>
      <c r="J170" s="185">
        <f t="shared" si="80"/>
        <v>0</v>
      </c>
      <c r="K170" s="186">
        <f t="shared" si="81"/>
        <v>1</v>
      </c>
      <c r="L170" s="194">
        <f>G170-F170</f>
        <v>-2044.8</v>
      </c>
    </row>
    <row r="171" spans="1:12" x14ac:dyDescent="0.2">
      <c r="A171" s="79"/>
      <c r="B171" s="80" t="s">
        <v>170</v>
      </c>
      <c r="C171" s="80"/>
      <c r="D171" s="81"/>
      <c r="E171" s="81"/>
      <c r="F171" s="81"/>
      <c r="G171" s="81"/>
      <c r="H171" s="145"/>
      <c r="I171" s="186"/>
      <c r="J171" s="185"/>
      <c r="K171" s="186"/>
      <c r="L171" s="194"/>
    </row>
    <row r="172" spans="1:12" ht="27" x14ac:dyDescent="0.2">
      <c r="A172" s="73" t="s">
        <v>253</v>
      </c>
      <c r="B172" s="74" t="s">
        <v>278</v>
      </c>
      <c r="C172" s="81">
        <v>12336.2</v>
      </c>
      <c r="D172" s="81">
        <v>11311.1</v>
      </c>
      <c r="E172" s="81">
        <v>8514.6</v>
      </c>
      <c r="F172" s="81">
        <v>11485.1</v>
      </c>
      <c r="G172" s="81">
        <v>11311.1</v>
      </c>
      <c r="H172" s="145">
        <f t="shared" ref="H172:H178" si="86">G172/$G$231</f>
        <v>8.0000000000000002E-3</v>
      </c>
      <c r="I172" s="186">
        <f>G172/E172</f>
        <v>1.3280000000000001</v>
      </c>
      <c r="J172" s="185">
        <f t="shared" ref="J172:J178" si="87">G172-D172</f>
        <v>0</v>
      </c>
      <c r="K172" s="186">
        <f t="shared" ref="K172:K182" si="88">G172/D172</f>
        <v>1</v>
      </c>
      <c r="L172" s="194">
        <f>G172-F172</f>
        <v>-174</v>
      </c>
    </row>
    <row r="173" spans="1:12" ht="27" x14ac:dyDescent="0.2">
      <c r="A173" s="73" t="s">
        <v>253</v>
      </c>
      <c r="B173" s="74" t="s">
        <v>279</v>
      </c>
      <c r="C173" s="81">
        <v>1400</v>
      </c>
      <c r="D173" s="81">
        <v>0</v>
      </c>
      <c r="E173" s="81"/>
      <c r="F173" s="81">
        <v>1199.9000000000001</v>
      </c>
      <c r="G173" s="81">
        <v>0</v>
      </c>
      <c r="H173" s="145">
        <f t="shared" si="86"/>
        <v>0</v>
      </c>
      <c r="I173" s="186"/>
      <c r="J173" s="185">
        <f t="shared" si="87"/>
        <v>0</v>
      </c>
      <c r="K173" s="186">
        <v>0</v>
      </c>
      <c r="L173" s="194">
        <f>G173-F173</f>
        <v>-1199.9000000000001</v>
      </c>
    </row>
    <row r="174" spans="1:12" x14ac:dyDescent="0.2">
      <c r="A174" s="73" t="s">
        <v>254</v>
      </c>
      <c r="B174" s="74" t="s">
        <v>155</v>
      </c>
      <c r="C174" s="81">
        <v>50.4</v>
      </c>
      <c r="D174" s="81">
        <v>48.3</v>
      </c>
      <c r="E174" s="81">
        <v>39.1</v>
      </c>
      <c r="F174" s="81">
        <v>51.3</v>
      </c>
      <c r="G174" s="81">
        <v>48.3</v>
      </c>
      <c r="H174" s="145">
        <f t="shared" si="86"/>
        <v>0</v>
      </c>
      <c r="I174" s="186">
        <f>G174/E174</f>
        <v>1.2350000000000001</v>
      </c>
      <c r="J174" s="185">
        <f t="shared" si="87"/>
        <v>0</v>
      </c>
      <c r="K174" s="186">
        <f t="shared" si="88"/>
        <v>1</v>
      </c>
      <c r="L174" s="194">
        <f t="shared" ref="L174:L177" si="89">G174-F174</f>
        <v>-3</v>
      </c>
    </row>
    <row r="175" spans="1:12" x14ac:dyDescent="0.2">
      <c r="A175" s="73" t="s">
        <v>255</v>
      </c>
      <c r="B175" s="74" t="s">
        <v>98</v>
      </c>
      <c r="C175" s="81">
        <v>782.7</v>
      </c>
      <c r="D175" s="81">
        <v>723.3</v>
      </c>
      <c r="E175" s="81">
        <v>477.9</v>
      </c>
      <c r="F175" s="81">
        <v>620.5</v>
      </c>
      <c r="G175" s="81">
        <v>723.3</v>
      </c>
      <c r="H175" s="145">
        <f t="shared" si="86"/>
        <v>0</v>
      </c>
      <c r="I175" s="186">
        <f>G175/E175</f>
        <v>1.5129999999999999</v>
      </c>
      <c r="J175" s="185">
        <f t="shared" si="87"/>
        <v>0</v>
      </c>
      <c r="K175" s="186">
        <f t="shared" si="88"/>
        <v>1</v>
      </c>
      <c r="L175" s="194">
        <f t="shared" si="89"/>
        <v>102.8</v>
      </c>
    </row>
    <row r="176" spans="1:12" x14ac:dyDescent="0.2">
      <c r="A176" s="73" t="s">
        <v>256</v>
      </c>
      <c r="B176" s="74" t="s">
        <v>153</v>
      </c>
      <c r="C176" s="81">
        <v>131.80000000000001</v>
      </c>
      <c r="D176" s="81">
        <v>96.9</v>
      </c>
      <c r="E176" s="81">
        <v>16.8</v>
      </c>
      <c r="F176" s="81">
        <v>16.8</v>
      </c>
      <c r="G176" s="81">
        <v>96.9</v>
      </c>
      <c r="H176" s="145">
        <f t="shared" si="86"/>
        <v>0</v>
      </c>
      <c r="I176" s="186">
        <v>0</v>
      </c>
      <c r="J176" s="185">
        <f t="shared" si="87"/>
        <v>0</v>
      </c>
      <c r="K176" s="186">
        <f t="shared" si="88"/>
        <v>1</v>
      </c>
      <c r="L176" s="194">
        <f t="shared" si="89"/>
        <v>80.099999999999994</v>
      </c>
    </row>
    <row r="177" spans="1:12" x14ac:dyDescent="0.2">
      <c r="A177" s="73"/>
      <c r="B177" s="74" t="s">
        <v>305</v>
      </c>
      <c r="C177" s="81">
        <v>143.6</v>
      </c>
      <c r="D177" s="81">
        <v>405.8</v>
      </c>
      <c r="E177" s="81">
        <v>82.9</v>
      </c>
      <c r="F177" s="81">
        <v>249.2</v>
      </c>
      <c r="G177" s="81">
        <v>405.8</v>
      </c>
      <c r="H177" s="145">
        <f t="shared" si="86"/>
        <v>0</v>
      </c>
      <c r="I177" s="186">
        <f>G177/E177</f>
        <v>4.8949999999999996</v>
      </c>
      <c r="J177" s="185">
        <f t="shared" si="87"/>
        <v>0</v>
      </c>
      <c r="K177" s="186">
        <f t="shared" si="88"/>
        <v>1</v>
      </c>
      <c r="L177" s="194">
        <f t="shared" si="89"/>
        <v>156.6</v>
      </c>
    </row>
    <row r="178" spans="1:12" ht="13.5" hidden="1" customHeight="1" x14ac:dyDescent="0.2">
      <c r="A178" s="13">
        <v>612</v>
      </c>
      <c r="B178" s="7" t="s">
        <v>94</v>
      </c>
      <c r="C178" s="75"/>
      <c r="D178" s="90"/>
      <c r="E178" s="90"/>
      <c r="F178" s="90"/>
      <c r="G178" s="90"/>
      <c r="H178" s="144">
        <f t="shared" si="86"/>
        <v>0</v>
      </c>
      <c r="I178" s="153" t="e">
        <f>G178/E178</f>
        <v>#DIV/0!</v>
      </c>
      <c r="J178" s="185">
        <f t="shared" si="87"/>
        <v>0</v>
      </c>
      <c r="K178" s="186" t="e">
        <f t="shared" si="88"/>
        <v>#DIV/0!</v>
      </c>
      <c r="L178" s="194" t="e">
        <f>G178-#REF!</f>
        <v>#REF!</v>
      </c>
    </row>
    <row r="179" spans="1:12" ht="13.5" hidden="1" customHeight="1" x14ac:dyDescent="0.2">
      <c r="A179" s="115"/>
      <c r="B179" s="116" t="s">
        <v>26</v>
      </c>
      <c r="C179" s="76"/>
      <c r="D179" s="141"/>
      <c r="E179" s="141"/>
      <c r="F179" s="141"/>
      <c r="G179" s="141"/>
      <c r="H179" s="144"/>
      <c r="I179" s="153" t="e">
        <f>G179/E179</f>
        <v>#DIV/0!</v>
      </c>
      <c r="J179" s="185"/>
      <c r="K179" s="186" t="e">
        <f t="shared" si="88"/>
        <v>#DIV/0!</v>
      </c>
      <c r="L179" s="194"/>
    </row>
    <row r="180" spans="1:12" ht="27" hidden="1" customHeight="1" x14ac:dyDescent="0.2">
      <c r="A180" s="115"/>
      <c r="B180" s="116" t="s">
        <v>157</v>
      </c>
      <c r="C180" s="76"/>
      <c r="D180" s="141"/>
      <c r="E180" s="141"/>
      <c r="F180" s="141"/>
      <c r="G180" s="141"/>
      <c r="H180" s="144">
        <f t="shared" ref="H180:H190" si="90">G180/$G$231</f>
        <v>0</v>
      </c>
      <c r="I180" s="153" t="e">
        <f>G180/E180</f>
        <v>#DIV/0!</v>
      </c>
      <c r="J180" s="185">
        <f t="shared" ref="J180:J188" si="91">G180-D180</f>
        <v>0</v>
      </c>
      <c r="K180" s="186" t="e">
        <f t="shared" si="88"/>
        <v>#DIV/0!</v>
      </c>
      <c r="L180" s="194" t="e">
        <f>G180-#REF!</f>
        <v>#REF!</v>
      </c>
    </row>
    <row r="181" spans="1:12" x14ac:dyDescent="0.2">
      <c r="A181" s="12"/>
      <c r="B181" s="224" t="s">
        <v>280</v>
      </c>
      <c r="C181" s="131">
        <v>0</v>
      </c>
      <c r="D181" s="141">
        <v>0</v>
      </c>
      <c r="E181" s="141">
        <v>1199.9000000000001</v>
      </c>
      <c r="F181" s="229">
        <v>116.9</v>
      </c>
      <c r="G181" s="141">
        <v>0</v>
      </c>
      <c r="H181" s="144">
        <f t="shared" si="90"/>
        <v>0</v>
      </c>
      <c r="I181" s="186">
        <f>G181/E181</f>
        <v>0</v>
      </c>
      <c r="J181" s="185">
        <f t="shared" si="91"/>
        <v>0</v>
      </c>
      <c r="K181" s="186">
        <v>0</v>
      </c>
      <c r="L181" s="194">
        <f>G181-F181</f>
        <v>-116.9</v>
      </c>
    </row>
    <row r="182" spans="1:12" x14ac:dyDescent="0.2">
      <c r="A182" s="12"/>
      <c r="B182" s="223" t="s">
        <v>274</v>
      </c>
      <c r="C182" s="131">
        <v>0</v>
      </c>
      <c r="D182" s="141">
        <v>30</v>
      </c>
      <c r="E182" s="141"/>
      <c r="F182" s="229">
        <v>0</v>
      </c>
      <c r="G182" s="141">
        <v>30</v>
      </c>
      <c r="H182" s="144">
        <f t="shared" si="90"/>
        <v>0</v>
      </c>
      <c r="I182" s="186"/>
      <c r="J182" s="185">
        <f t="shared" si="91"/>
        <v>0</v>
      </c>
      <c r="K182" s="186">
        <f t="shared" si="88"/>
        <v>1</v>
      </c>
      <c r="L182" s="194">
        <f>G182-F182</f>
        <v>30</v>
      </c>
    </row>
    <row r="183" spans="1:12" x14ac:dyDescent="0.2">
      <c r="A183" s="12"/>
      <c r="B183" s="224" t="s">
        <v>281</v>
      </c>
      <c r="C183" s="131">
        <v>36</v>
      </c>
      <c r="D183" s="141">
        <v>25</v>
      </c>
      <c r="E183" s="141"/>
      <c r="F183" s="229">
        <v>15</v>
      </c>
      <c r="G183" s="141">
        <v>25</v>
      </c>
      <c r="H183" s="144">
        <f t="shared" si="90"/>
        <v>0</v>
      </c>
      <c r="I183" s="186"/>
      <c r="J183" s="185">
        <f t="shared" si="91"/>
        <v>0</v>
      </c>
      <c r="K183" s="186">
        <f t="shared" ref="K183:K188" si="92">G183/D183</f>
        <v>1</v>
      </c>
      <c r="L183" s="194">
        <f>G183-F183</f>
        <v>10</v>
      </c>
    </row>
    <row r="184" spans="1:12" s="21" customFormat="1" x14ac:dyDescent="0.2">
      <c r="A184" s="62" t="s">
        <v>250</v>
      </c>
      <c r="B184" s="68" t="s">
        <v>251</v>
      </c>
      <c r="C184" s="63">
        <f>C185</f>
        <v>714.3</v>
      </c>
      <c r="D184" s="63">
        <f>D185</f>
        <v>584.20000000000005</v>
      </c>
      <c r="E184" s="63">
        <f t="shared" ref="E184" si="93">E185</f>
        <v>0</v>
      </c>
      <c r="F184" s="63">
        <f t="shared" ref="F184:G184" si="94">F185</f>
        <v>67.7</v>
      </c>
      <c r="G184" s="63">
        <f t="shared" si="94"/>
        <v>584.20000000000005</v>
      </c>
      <c r="H184" s="64">
        <f t="shared" si="90"/>
        <v>0</v>
      </c>
      <c r="I184" s="153"/>
      <c r="J184" s="154">
        <f t="shared" si="91"/>
        <v>0</v>
      </c>
      <c r="K184" s="153">
        <f t="shared" si="92"/>
        <v>1</v>
      </c>
      <c r="L184" s="155">
        <f>G184-F184</f>
        <v>516.5</v>
      </c>
    </row>
    <row r="185" spans="1:12" x14ac:dyDescent="0.2">
      <c r="A185" s="12"/>
      <c r="B185" s="7" t="s">
        <v>252</v>
      </c>
      <c r="C185" s="131">
        <v>714.3</v>
      </c>
      <c r="D185" s="131">
        <v>584.20000000000005</v>
      </c>
      <c r="E185" s="131"/>
      <c r="F185" s="131">
        <v>67.7</v>
      </c>
      <c r="G185" s="131">
        <v>584.20000000000005</v>
      </c>
      <c r="H185" s="135">
        <f t="shared" si="90"/>
        <v>0</v>
      </c>
      <c r="I185" s="151"/>
      <c r="J185" s="185">
        <f t="shared" si="91"/>
        <v>0</v>
      </c>
      <c r="K185" s="186">
        <f t="shared" si="92"/>
        <v>1</v>
      </c>
      <c r="L185" s="194">
        <f t="shared" ref="L185" si="95">G185-F185</f>
        <v>516.5</v>
      </c>
    </row>
    <row r="186" spans="1:12" s="21" customFormat="1" x14ac:dyDescent="0.2">
      <c r="A186" s="62" t="s">
        <v>57</v>
      </c>
      <c r="B186" s="66" t="s">
        <v>96</v>
      </c>
      <c r="C186" s="130">
        <f>C187</f>
        <v>88326.2</v>
      </c>
      <c r="D186" s="130">
        <v>83452.800000000003</v>
      </c>
      <c r="E186" s="130">
        <f t="shared" ref="E186:F186" si="96">E187</f>
        <v>50489.5</v>
      </c>
      <c r="F186" s="130">
        <f t="shared" si="96"/>
        <v>78284.800000000003</v>
      </c>
      <c r="G186" s="130">
        <v>83452.800000000003</v>
      </c>
      <c r="H186" s="64">
        <f t="shared" si="90"/>
        <v>5.6000000000000001E-2</v>
      </c>
      <c r="I186" s="153">
        <f>G186/E186</f>
        <v>1.653</v>
      </c>
      <c r="J186" s="154">
        <f t="shared" si="91"/>
        <v>0</v>
      </c>
      <c r="K186" s="153">
        <f t="shared" si="92"/>
        <v>1</v>
      </c>
      <c r="L186" s="155">
        <f>G186-F186</f>
        <v>5168</v>
      </c>
    </row>
    <row r="187" spans="1:12" s="30" customFormat="1" x14ac:dyDescent="0.2">
      <c r="A187" s="77" t="s">
        <v>59</v>
      </c>
      <c r="B187" s="78" t="s">
        <v>58</v>
      </c>
      <c r="C187" s="146">
        <f>C188+C190</f>
        <v>88326.2</v>
      </c>
      <c r="D187" s="146">
        <f>D188+D190</f>
        <v>83452.800000000003</v>
      </c>
      <c r="E187" s="146">
        <f t="shared" ref="E187:F187" si="97">E188+E190</f>
        <v>50489.5</v>
      </c>
      <c r="F187" s="146">
        <f t="shared" si="97"/>
        <v>78284.800000000003</v>
      </c>
      <c r="G187" s="146">
        <f t="shared" ref="G187" si="98">G188+G190</f>
        <v>83452.800000000003</v>
      </c>
      <c r="H187" s="71">
        <f t="shared" si="90"/>
        <v>5.6000000000000001E-2</v>
      </c>
      <c r="I187" s="153">
        <f>G187/E187</f>
        <v>1.653</v>
      </c>
      <c r="J187" s="185">
        <f t="shared" si="91"/>
        <v>0</v>
      </c>
      <c r="K187" s="186">
        <f t="shared" si="92"/>
        <v>1</v>
      </c>
      <c r="L187" s="194">
        <f>G187-F187</f>
        <v>5168</v>
      </c>
    </row>
    <row r="188" spans="1:12" ht="45" customHeight="1" x14ac:dyDescent="0.2">
      <c r="A188" s="13">
        <v>611</v>
      </c>
      <c r="B188" s="7" t="s">
        <v>93</v>
      </c>
      <c r="C188" s="5">
        <v>55707.1</v>
      </c>
      <c r="D188" s="90">
        <v>43841.8</v>
      </c>
      <c r="E188" s="90">
        <v>29543.5</v>
      </c>
      <c r="F188" s="90">
        <v>47813.9</v>
      </c>
      <c r="G188" s="90">
        <v>43841.8</v>
      </c>
      <c r="H188" s="144">
        <f t="shared" si="90"/>
        <v>0.03</v>
      </c>
      <c r="I188" s="153">
        <f>G188/E188</f>
        <v>1.484</v>
      </c>
      <c r="J188" s="185">
        <f t="shared" si="91"/>
        <v>0</v>
      </c>
      <c r="K188" s="186">
        <f t="shared" si="92"/>
        <v>1</v>
      </c>
      <c r="L188" s="194">
        <f>G188-F188</f>
        <v>-3972.1</v>
      </c>
    </row>
    <row r="189" spans="1:12" ht="13.5" hidden="1" customHeight="1" x14ac:dyDescent="0.2">
      <c r="A189" s="13"/>
      <c r="B189" s="8" t="s">
        <v>97</v>
      </c>
      <c r="C189" s="5"/>
      <c r="D189" s="90"/>
      <c r="E189" s="90"/>
      <c r="F189" s="90" t="e">
        <f>#REF!</f>
        <v>#REF!</v>
      </c>
      <c r="G189" s="90"/>
      <c r="H189" s="144">
        <f t="shared" si="90"/>
        <v>0</v>
      </c>
      <c r="I189" s="153" t="e">
        <f>G189/E189</f>
        <v>#DIV/0!</v>
      </c>
      <c r="J189" s="185"/>
      <c r="K189" s="186"/>
      <c r="L189" s="194"/>
    </row>
    <row r="190" spans="1:12" ht="13.5" customHeight="1" x14ac:dyDescent="0.2">
      <c r="A190" s="13">
        <v>612</v>
      </c>
      <c r="B190" s="8" t="s">
        <v>94</v>
      </c>
      <c r="C190" s="5">
        <v>32619.1</v>
      </c>
      <c r="D190" s="90">
        <v>39611</v>
      </c>
      <c r="E190" s="90">
        <f>20945.9+0.1</f>
        <v>20946</v>
      </c>
      <c r="F190" s="90">
        <v>30470.9</v>
      </c>
      <c r="G190" s="90">
        <v>39611</v>
      </c>
      <c r="H190" s="144">
        <f t="shared" si="90"/>
        <v>2.7E-2</v>
      </c>
      <c r="I190" s="153">
        <f>G190/E190</f>
        <v>1.891</v>
      </c>
      <c r="J190" s="185">
        <f>G190-D190</f>
        <v>0</v>
      </c>
      <c r="K190" s="186">
        <f>G190/D190</f>
        <v>1</v>
      </c>
      <c r="L190" s="194">
        <f>G190-F190</f>
        <v>9140.1</v>
      </c>
    </row>
    <row r="191" spans="1:12" x14ac:dyDescent="0.2">
      <c r="A191" s="79"/>
      <c r="B191" s="80" t="s">
        <v>170</v>
      </c>
      <c r="C191" s="80"/>
      <c r="D191" s="81"/>
      <c r="E191" s="81"/>
      <c r="F191" s="81"/>
      <c r="G191" s="81"/>
      <c r="H191" s="145"/>
      <c r="I191" s="186"/>
      <c r="J191" s="185"/>
      <c r="K191" s="186"/>
      <c r="L191" s="194"/>
    </row>
    <row r="192" spans="1:12" x14ac:dyDescent="0.2">
      <c r="A192" s="79" t="s">
        <v>253</v>
      </c>
      <c r="B192" s="74" t="s">
        <v>95</v>
      </c>
      <c r="C192" s="75">
        <v>70160.3</v>
      </c>
      <c r="D192" s="81">
        <v>64362.6</v>
      </c>
      <c r="E192" s="81">
        <v>44529.5</v>
      </c>
      <c r="F192" s="81">
        <v>65604.2</v>
      </c>
      <c r="G192" s="81">
        <v>64362.6</v>
      </c>
      <c r="H192" s="145">
        <f t="shared" ref="H192:H197" si="99">G192/$G$231</f>
        <v>4.2999999999999997E-2</v>
      </c>
      <c r="I192" s="186">
        <f t="shared" ref="I192:I201" si="100">G192/E192</f>
        <v>1.4450000000000001</v>
      </c>
      <c r="J192" s="185">
        <f t="shared" ref="J192:J197" si="101">G192-D192</f>
        <v>0</v>
      </c>
      <c r="K192" s="186">
        <f t="shared" ref="K192:K197" si="102">G192/D192</f>
        <v>1</v>
      </c>
      <c r="L192" s="194">
        <f>G192-F192</f>
        <v>-1241.5999999999999</v>
      </c>
    </row>
    <row r="193" spans="1:12" x14ac:dyDescent="0.2">
      <c r="A193" s="79" t="s">
        <v>254</v>
      </c>
      <c r="B193" s="74" t="s">
        <v>156</v>
      </c>
      <c r="C193" s="75">
        <v>308.60000000000002</v>
      </c>
      <c r="D193" s="81">
        <v>277.2</v>
      </c>
      <c r="E193" s="81">
        <v>201</v>
      </c>
      <c r="F193" s="81">
        <v>278.8</v>
      </c>
      <c r="G193" s="81">
        <v>277.2</v>
      </c>
      <c r="H193" s="145">
        <f t="shared" si="99"/>
        <v>0</v>
      </c>
      <c r="I193" s="186">
        <f t="shared" si="100"/>
        <v>1.379</v>
      </c>
      <c r="J193" s="185">
        <f t="shared" si="101"/>
        <v>0</v>
      </c>
      <c r="K193" s="186">
        <f t="shared" si="102"/>
        <v>1</v>
      </c>
      <c r="L193" s="194">
        <f t="shared" ref="L193:L196" si="103">G193-F193</f>
        <v>-1.6</v>
      </c>
    </row>
    <row r="194" spans="1:12" x14ac:dyDescent="0.2">
      <c r="A194" s="73" t="s">
        <v>255</v>
      </c>
      <c r="B194" s="74" t="s">
        <v>98</v>
      </c>
      <c r="C194" s="75">
        <v>7641.5</v>
      </c>
      <c r="D194" s="81">
        <v>4688.3</v>
      </c>
      <c r="E194" s="81">
        <v>4385.8999999999996</v>
      </c>
      <c r="F194" s="81">
        <v>6261.1</v>
      </c>
      <c r="G194" s="81">
        <v>4688.3</v>
      </c>
      <c r="H194" s="145">
        <f t="shared" si="99"/>
        <v>3.0000000000000001E-3</v>
      </c>
      <c r="I194" s="186">
        <f t="shared" si="100"/>
        <v>1.069</v>
      </c>
      <c r="J194" s="185">
        <f t="shared" si="101"/>
        <v>0</v>
      </c>
      <c r="K194" s="186">
        <f t="shared" si="102"/>
        <v>1</v>
      </c>
      <c r="L194" s="194">
        <f t="shared" si="103"/>
        <v>-1572.8</v>
      </c>
    </row>
    <row r="195" spans="1:12" x14ac:dyDescent="0.2">
      <c r="A195" s="73" t="s">
        <v>256</v>
      </c>
      <c r="B195" s="74" t="s">
        <v>153</v>
      </c>
      <c r="C195" s="75">
        <v>1678.5</v>
      </c>
      <c r="D195" s="81">
        <v>1058</v>
      </c>
      <c r="E195" s="81">
        <v>221.4</v>
      </c>
      <c r="F195" s="81">
        <v>222.1</v>
      </c>
      <c r="G195" s="81">
        <v>1058</v>
      </c>
      <c r="H195" s="145">
        <f t="shared" si="99"/>
        <v>1E-3</v>
      </c>
      <c r="I195" s="186">
        <f t="shared" si="100"/>
        <v>4.7789999999999999</v>
      </c>
      <c r="J195" s="185">
        <f t="shared" si="101"/>
        <v>0</v>
      </c>
      <c r="K195" s="186">
        <f t="shared" si="102"/>
        <v>1</v>
      </c>
      <c r="L195" s="194">
        <f t="shared" si="103"/>
        <v>835.9</v>
      </c>
    </row>
    <row r="196" spans="1:12" x14ac:dyDescent="0.2">
      <c r="A196" s="73"/>
      <c r="B196" s="74" t="s">
        <v>268</v>
      </c>
      <c r="C196" s="75">
        <v>8537.2999999999993</v>
      </c>
      <c r="D196" s="81">
        <v>13066.7</v>
      </c>
      <c r="E196" s="81">
        <f>1151.6+0.1</f>
        <v>1151.7</v>
      </c>
      <c r="F196" s="81">
        <v>5918.6</v>
      </c>
      <c r="G196" s="81">
        <v>13066.7</v>
      </c>
      <c r="H196" s="145">
        <f t="shared" si="99"/>
        <v>8.9999999999999993E-3</v>
      </c>
      <c r="I196" s="186">
        <f t="shared" si="100"/>
        <v>11.346</v>
      </c>
      <c r="J196" s="185">
        <f t="shared" si="101"/>
        <v>0</v>
      </c>
      <c r="K196" s="186">
        <f t="shared" si="102"/>
        <v>1</v>
      </c>
      <c r="L196" s="194">
        <f t="shared" si="103"/>
        <v>7148.1</v>
      </c>
    </row>
    <row r="197" spans="1:12" ht="13.5" hidden="1" customHeight="1" x14ac:dyDescent="0.2">
      <c r="A197" s="13">
        <v>612</v>
      </c>
      <c r="B197" s="7" t="s">
        <v>94</v>
      </c>
      <c r="C197" s="5"/>
      <c r="D197" s="90"/>
      <c r="E197" s="90"/>
      <c r="F197" s="90" t="e">
        <f>#REF!</f>
        <v>#REF!</v>
      </c>
      <c r="G197" s="90"/>
      <c r="H197" s="144">
        <f t="shared" si="99"/>
        <v>0</v>
      </c>
      <c r="I197" s="153" t="e">
        <f t="shared" si="100"/>
        <v>#DIV/0!</v>
      </c>
      <c r="J197" s="185">
        <f t="shared" si="101"/>
        <v>0</v>
      </c>
      <c r="K197" s="186" t="e">
        <f t="shared" si="102"/>
        <v>#DIV/0!</v>
      </c>
      <c r="L197" s="194" t="e">
        <f>G197-#REF!</f>
        <v>#REF!</v>
      </c>
    </row>
    <row r="198" spans="1:12" ht="13.5" hidden="1" customHeight="1" x14ac:dyDescent="0.2">
      <c r="A198" s="115"/>
      <c r="B198" s="114" t="s">
        <v>26</v>
      </c>
      <c r="C198" s="75"/>
      <c r="D198" s="90"/>
      <c r="E198" s="90"/>
      <c r="F198" s="90" t="e">
        <f>#REF!</f>
        <v>#REF!</v>
      </c>
      <c r="G198" s="90"/>
      <c r="H198" s="144"/>
      <c r="I198" s="153" t="e">
        <f t="shared" si="100"/>
        <v>#DIV/0!</v>
      </c>
      <c r="J198" s="185"/>
      <c r="K198" s="186"/>
      <c r="L198" s="194"/>
    </row>
    <row r="199" spans="1:12" ht="40.5" hidden="1" customHeight="1" x14ac:dyDescent="0.2">
      <c r="A199" s="115"/>
      <c r="B199" s="114" t="s">
        <v>158</v>
      </c>
      <c r="C199" s="75"/>
      <c r="D199" s="90"/>
      <c r="E199" s="90"/>
      <c r="F199" s="90" t="e">
        <f>#REF!</f>
        <v>#REF!</v>
      </c>
      <c r="G199" s="90"/>
      <c r="H199" s="144">
        <f>G199/$G$231</f>
        <v>0</v>
      </c>
      <c r="I199" s="153" t="e">
        <f t="shared" si="100"/>
        <v>#DIV/0!</v>
      </c>
      <c r="J199" s="185">
        <f t="shared" ref="J199:J211" si="104">G199-D199</f>
        <v>0</v>
      </c>
      <c r="K199" s="186" t="e">
        <f t="shared" ref="K199:K205" si="105">G199/D199</f>
        <v>#DIV/0!</v>
      </c>
      <c r="L199" s="194" t="e">
        <f>G199-#REF!</f>
        <v>#REF!</v>
      </c>
    </row>
    <row r="200" spans="1:12" ht="40.5" x14ac:dyDescent="0.2">
      <c r="A200" s="12"/>
      <c r="B200" s="223" t="s">
        <v>276</v>
      </c>
      <c r="C200" s="131">
        <v>484</v>
      </c>
      <c r="D200" s="141">
        <v>104.9</v>
      </c>
      <c r="E200" s="141"/>
      <c r="F200" s="90">
        <v>469.8</v>
      </c>
      <c r="G200" s="141">
        <v>104.9</v>
      </c>
      <c r="H200" s="144">
        <f>G200/$G$231</f>
        <v>0</v>
      </c>
      <c r="I200" s="186" t="e">
        <f t="shared" si="100"/>
        <v>#DIV/0!</v>
      </c>
      <c r="J200" s="185">
        <f t="shared" si="104"/>
        <v>0</v>
      </c>
      <c r="K200" s="186">
        <f t="shared" si="105"/>
        <v>1</v>
      </c>
      <c r="L200" s="194">
        <f>G200-F200</f>
        <v>-364.9</v>
      </c>
    </row>
    <row r="201" spans="1:12" ht="27" x14ac:dyDescent="0.2">
      <c r="A201" s="115"/>
      <c r="B201" s="223" t="s">
        <v>277</v>
      </c>
      <c r="C201" s="141">
        <v>6313.5</v>
      </c>
      <c r="D201" s="141">
        <v>9279.9</v>
      </c>
      <c r="E201" s="141"/>
      <c r="F201" s="90">
        <v>3079.5</v>
      </c>
      <c r="G201" s="141">
        <v>9279.9</v>
      </c>
      <c r="H201" s="144">
        <f t="shared" ref="H201:H203" si="106">G201/$G$231</f>
        <v>6.0000000000000001E-3</v>
      </c>
      <c r="I201" s="153" t="e">
        <f t="shared" si="100"/>
        <v>#DIV/0!</v>
      </c>
      <c r="J201" s="185">
        <f t="shared" si="104"/>
        <v>0</v>
      </c>
      <c r="K201" s="186">
        <f t="shared" si="105"/>
        <v>1</v>
      </c>
      <c r="L201" s="194">
        <f t="shared" ref="L201:L203" si="107">G201-F201</f>
        <v>6200.4</v>
      </c>
    </row>
    <row r="202" spans="1:12" ht="40.5" x14ac:dyDescent="0.2">
      <c r="A202" s="115"/>
      <c r="B202" s="223" t="s">
        <v>314</v>
      </c>
      <c r="C202" s="141">
        <v>0</v>
      </c>
      <c r="D202" s="141">
        <v>1133</v>
      </c>
      <c r="E202" s="141"/>
      <c r="F202" s="90">
        <v>0</v>
      </c>
      <c r="G202" s="141">
        <v>1133</v>
      </c>
      <c r="H202" s="144">
        <f t="shared" si="106"/>
        <v>1E-3</v>
      </c>
      <c r="I202" s="153"/>
      <c r="J202" s="185">
        <f t="shared" si="104"/>
        <v>0</v>
      </c>
      <c r="K202" s="186">
        <f t="shared" si="105"/>
        <v>1</v>
      </c>
      <c r="L202" s="194">
        <f t="shared" si="107"/>
        <v>1133</v>
      </c>
    </row>
    <row r="203" spans="1:12" ht="15.75" customHeight="1" x14ac:dyDescent="0.2">
      <c r="A203" s="12"/>
      <c r="B203" s="223" t="s">
        <v>275</v>
      </c>
      <c r="C203" s="131">
        <v>804.5</v>
      </c>
      <c r="D203" s="141">
        <v>402.2</v>
      </c>
      <c r="E203" s="141"/>
      <c r="F203" s="90">
        <v>349.1</v>
      </c>
      <c r="G203" s="141">
        <v>402.2</v>
      </c>
      <c r="H203" s="144">
        <f t="shared" si="106"/>
        <v>0</v>
      </c>
      <c r="I203" s="153"/>
      <c r="J203" s="185">
        <f t="shared" si="104"/>
        <v>0</v>
      </c>
      <c r="K203" s="186">
        <f t="shared" si="105"/>
        <v>1</v>
      </c>
      <c r="L203" s="194">
        <f t="shared" si="107"/>
        <v>53.1</v>
      </c>
    </row>
    <row r="204" spans="1:12" s="21" customFormat="1" x14ac:dyDescent="0.2">
      <c r="A204" s="62" t="s">
        <v>99</v>
      </c>
      <c r="B204" s="66" t="s">
        <v>100</v>
      </c>
      <c r="C204" s="152">
        <f>C205+C206</f>
        <v>524.9</v>
      </c>
      <c r="D204" s="152">
        <f>D205+D206</f>
        <v>534.6</v>
      </c>
      <c r="E204" s="152">
        <f t="shared" ref="E204:F204" si="108">E205+E206</f>
        <v>398.2</v>
      </c>
      <c r="F204" s="152">
        <f t="shared" si="108"/>
        <v>526.9</v>
      </c>
      <c r="G204" s="152">
        <f t="shared" ref="G204" si="109">G205+G206</f>
        <v>534.5</v>
      </c>
      <c r="H204" s="153">
        <f t="shared" ref="H204:H211" si="110">G204/$G$231</f>
        <v>0</v>
      </c>
      <c r="I204" s="153">
        <f t="shared" ref="I204:I210" si="111">G204/E204</f>
        <v>1.3420000000000001</v>
      </c>
      <c r="J204" s="154">
        <f t="shared" si="104"/>
        <v>-0.1</v>
      </c>
      <c r="K204" s="153">
        <f t="shared" si="105"/>
        <v>1</v>
      </c>
      <c r="L204" s="155">
        <f t="shared" ref="L204:L211" si="112">G204-F204</f>
        <v>7.6</v>
      </c>
    </row>
    <row r="205" spans="1:12" s="30" customFormat="1" x14ac:dyDescent="0.2">
      <c r="A205" s="12" t="s">
        <v>60</v>
      </c>
      <c r="B205" s="15" t="s">
        <v>61</v>
      </c>
      <c r="C205" s="132">
        <v>524.9</v>
      </c>
      <c r="D205" s="140">
        <v>534.6</v>
      </c>
      <c r="E205" s="140">
        <v>398.1</v>
      </c>
      <c r="F205" s="140">
        <v>526.79999999999995</v>
      </c>
      <c r="G205" s="140">
        <v>534.5</v>
      </c>
      <c r="H205" s="151">
        <f t="shared" si="110"/>
        <v>0</v>
      </c>
      <c r="I205" s="153">
        <f t="shared" si="111"/>
        <v>1.343</v>
      </c>
      <c r="J205" s="185">
        <f t="shared" si="104"/>
        <v>-0.1</v>
      </c>
      <c r="K205" s="186">
        <f t="shared" si="105"/>
        <v>1</v>
      </c>
      <c r="L205" s="194">
        <f t="shared" si="112"/>
        <v>7.7</v>
      </c>
    </row>
    <row r="206" spans="1:12" s="30" customFormat="1" ht="13.5" customHeight="1" x14ac:dyDescent="0.2">
      <c r="A206" s="12" t="s">
        <v>219</v>
      </c>
      <c r="B206" s="15" t="s">
        <v>220</v>
      </c>
      <c r="C206" s="132">
        <v>0</v>
      </c>
      <c r="D206" s="140">
        <v>0</v>
      </c>
      <c r="E206" s="140">
        <v>0.1</v>
      </c>
      <c r="F206" s="140">
        <v>0.1</v>
      </c>
      <c r="G206" s="140">
        <v>0</v>
      </c>
      <c r="H206" s="151">
        <f t="shared" si="110"/>
        <v>0</v>
      </c>
      <c r="I206" s="153">
        <f t="shared" si="111"/>
        <v>0</v>
      </c>
      <c r="J206" s="185">
        <f t="shared" si="104"/>
        <v>0</v>
      </c>
      <c r="K206" s="186">
        <v>0</v>
      </c>
      <c r="L206" s="194">
        <f t="shared" si="112"/>
        <v>-0.1</v>
      </c>
    </row>
    <row r="207" spans="1:12" s="21" customFormat="1" x14ac:dyDescent="0.2">
      <c r="A207" s="62" t="s">
        <v>101</v>
      </c>
      <c r="B207" s="66" t="s">
        <v>48</v>
      </c>
      <c r="C207" s="65">
        <f t="shared" ref="C207:E207" si="113">C208+C225</f>
        <v>19543.599999999999</v>
      </c>
      <c r="D207" s="65">
        <f t="shared" si="113"/>
        <v>18192.2</v>
      </c>
      <c r="E207" s="65">
        <f t="shared" si="113"/>
        <v>9657</v>
      </c>
      <c r="F207" s="65">
        <f>F208+F225</f>
        <v>15996.2</v>
      </c>
      <c r="G207" s="65">
        <f>G208+G225</f>
        <v>18192.2</v>
      </c>
      <c r="H207" s="64">
        <f t="shared" si="110"/>
        <v>1.2E-2</v>
      </c>
      <c r="I207" s="153">
        <f t="shared" si="111"/>
        <v>1.8839999999999999</v>
      </c>
      <c r="J207" s="154">
        <f t="shared" si="104"/>
        <v>0</v>
      </c>
      <c r="K207" s="153">
        <f>G207/D207</f>
        <v>1</v>
      </c>
      <c r="L207" s="155">
        <f t="shared" si="112"/>
        <v>2196</v>
      </c>
    </row>
    <row r="208" spans="1:12" s="30" customFormat="1" x14ac:dyDescent="0.2">
      <c r="A208" s="77" t="s">
        <v>71</v>
      </c>
      <c r="B208" s="120" t="s">
        <v>175</v>
      </c>
      <c r="C208" s="147">
        <f t="shared" ref="C208:E208" si="114">C209+C210+C224+C211</f>
        <v>19143.599999999999</v>
      </c>
      <c r="D208" s="147">
        <f t="shared" si="114"/>
        <v>18192.2</v>
      </c>
      <c r="E208" s="147">
        <f t="shared" si="114"/>
        <v>9518.2999999999993</v>
      </c>
      <c r="F208" s="147">
        <f>F209+F210+F224+F211</f>
        <v>15711.1</v>
      </c>
      <c r="G208" s="147">
        <f>G209+G210+G224+G211</f>
        <v>18192.2</v>
      </c>
      <c r="H208" s="71">
        <f t="shared" si="110"/>
        <v>1.2E-2</v>
      </c>
      <c r="I208" s="153">
        <f t="shared" si="111"/>
        <v>1.911</v>
      </c>
      <c r="J208" s="185">
        <f t="shared" si="104"/>
        <v>0</v>
      </c>
      <c r="K208" s="186">
        <f>G208/D208</f>
        <v>1</v>
      </c>
      <c r="L208" s="196">
        <f t="shared" si="112"/>
        <v>2481.1</v>
      </c>
    </row>
    <row r="209" spans="1:13" ht="40.5" x14ac:dyDescent="0.2">
      <c r="A209" s="13">
        <v>611</v>
      </c>
      <c r="B209" s="7" t="s">
        <v>93</v>
      </c>
      <c r="C209" s="5">
        <v>15110.1</v>
      </c>
      <c r="D209" s="90">
        <v>12818.5</v>
      </c>
      <c r="E209" s="90">
        <v>7137.3</v>
      </c>
      <c r="F209" s="90">
        <v>11218.3</v>
      </c>
      <c r="G209" s="90">
        <v>12818.5</v>
      </c>
      <c r="H209" s="144">
        <f t="shared" si="110"/>
        <v>8.9999999999999993E-3</v>
      </c>
      <c r="I209" s="186">
        <f t="shared" si="111"/>
        <v>1.796</v>
      </c>
      <c r="J209" s="185">
        <f t="shared" si="104"/>
        <v>0</v>
      </c>
      <c r="K209" s="186">
        <f>G209/D209</f>
        <v>1</v>
      </c>
      <c r="L209" s="194">
        <f t="shared" si="112"/>
        <v>1600.2</v>
      </c>
    </row>
    <row r="210" spans="1:13" x14ac:dyDescent="0.2">
      <c r="A210" s="13">
        <v>612</v>
      </c>
      <c r="B210" s="7" t="s">
        <v>94</v>
      </c>
      <c r="C210" s="5">
        <v>3383.5</v>
      </c>
      <c r="D210" s="90">
        <v>5021.5</v>
      </c>
      <c r="E210" s="90">
        <f>1915.2+350</f>
        <v>2265.1999999999998</v>
      </c>
      <c r="F210" s="90">
        <v>4356.3</v>
      </c>
      <c r="G210" s="90">
        <v>5021.5</v>
      </c>
      <c r="H210" s="144">
        <f t="shared" si="110"/>
        <v>3.0000000000000001E-3</v>
      </c>
      <c r="I210" s="186">
        <f t="shared" si="111"/>
        <v>2.2170000000000001</v>
      </c>
      <c r="J210" s="185">
        <f t="shared" si="104"/>
        <v>0</v>
      </c>
      <c r="K210" s="186">
        <f>G210/D210</f>
        <v>1</v>
      </c>
      <c r="L210" s="194">
        <f t="shared" si="112"/>
        <v>665.2</v>
      </c>
    </row>
    <row r="211" spans="1:13" x14ac:dyDescent="0.2">
      <c r="A211" s="13">
        <v>244</v>
      </c>
      <c r="B211" s="7" t="s">
        <v>271</v>
      </c>
      <c r="C211" s="5">
        <v>650</v>
      </c>
      <c r="D211" s="90">
        <v>0</v>
      </c>
      <c r="E211" s="90"/>
      <c r="F211" s="90">
        <v>20.7</v>
      </c>
      <c r="G211" s="90">
        <v>0</v>
      </c>
      <c r="H211" s="144">
        <f t="shared" si="110"/>
        <v>0</v>
      </c>
      <c r="I211" s="186"/>
      <c r="J211" s="185">
        <f t="shared" si="104"/>
        <v>0</v>
      </c>
      <c r="K211" s="186">
        <v>0</v>
      </c>
      <c r="L211" s="194">
        <f t="shared" si="112"/>
        <v>-20.7</v>
      </c>
    </row>
    <row r="212" spans="1:13" x14ac:dyDescent="0.2">
      <c r="A212" s="79"/>
      <c r="B212" s="80" t="s">
        <v>170</v>
      </c>
      <c r="C212" s="80"/>
      <c r="D212" s="81"/>
      <c r="E212" s="81"/>
      <c r="F212" s="81"/>
      <c r="G212" s="81"/>
      <c r="H212" s="145"/>
      <c r="I212" s="186"/>
      <c r="J212" s="185"/>
      <c r="K212" s="186"/>
      <c r="L212" s="194"/>
      <c r="M212" s="227"/>
    </row>
    <row r="213" spans="1:13" x14ac:dyDescent="0.2">
      <c r="A213" s="79" t="s">
        <v>253</v>
      </c>
      <c r="B213" s="74" t="s">
        <v>95</v>
      </c>
      <c r="C213" s="75">
        <v>12175.5</v>
      </c>
      <c r="D213" s="81">
        <v>11411.7</v>
      </c>
      <c r="E213" s="81">
        <v>6750</v>
      </c>
      <c r="F213" s="81">
        <v>9704.6</v>
      </c>
      <c r="G213" s="81">
        <v>11411.7</v>
      </c>
      <c r="H213" s="145">
        <f t="shared" ref="H213:H218" si="115">G213/$G$231</f>
        <v>8.0000000000000002E-3</v>
      </c>
      <c r="I213" s="186">
        <f>G213/E213</f>
        <v>1.6910000000000001</v>
      </c>
      <c r="J213" s="185">
        <f t="shared" ref="J213:J218" si="116">G213-D213</f>
        <v>0</v>
      </c>
      <c r="K213" s="186">
        <f t="shared" ref="K213:K218" si="117">G213/D213</f>
        <v>1</v>
      </c>
      <c r="L213" s="194">
        <f>G213-F213</f>
        <v>1707.1</v>
      </c>
    </row>
    <row r="214" spans="1:13" x14ac:dyDescent="0.2">
      <c r="A214" s="79" t="s">
        <v>254</v>
      </c>
      <c r="B214" s="74" t="s">
        <v>156</v>
      </c>
      <c r="C214" s="75">
        <v>31.6</v>
      </c>
      <c r="D214" s="81">
        <v>11.1</v>
      </c>
      <c r="E214" s="81">
        <v>18.2</v>
      </c>
      <c r="F214" s="81">
        <v>23.1</v>
      </c>
      <c r="G214" s="81">
        <v>11.1</v>
      </c>
      <c r="H214" s="145">
        <f t="shared" si="115"/>
        <v>0</v>
      </c>
      <c r="I214" s="186">
        <f>G214/E214</f>
        <v>0.61</v>
      </c>
      <c r="J214" s="185">
        <f t="shared" si="116"/>
        <v>0</v>
      </c>
      <c r="K214" s="186">
        <f t="shared" si="117"/>
        <v>1</v>
      </c>
      <c r="L214" s="194">
        <f t="shared" ref="L214:L217" si="118">G214-F214</f>
        <v>-12</v>
      </c>
    </row>
    <row r="215" spans="1:13" x14ac:dyDescent="0.2">
      <c r="A215" s="73" t="s">
        <v>255</v>
      </c>
      <c r="B215" s="74" t="s">
        <v>98</v>
      </c>
      <c r="C215" s="75">
        <v>4700.5</v>
      </c>
      <c r="D215" s="81">
        <v>2195.1999999999998</v>
      </c>
      <c r="E215" s="81">
        <v>2169.6999999999998</v>
      </c>
      <c r="F215" s="81">
        <v>3197.5</v>
      </c>
      <c r="G215" s="81">
        <v>2195.1999999999998</v>
      </c>
      <c r="H215" s="145">
        <f t="shared" si="115"/>
        <v>1E-3</v>
      </c>
      <c r="I215" s="186">
        <f>G215/E215</f>
        <v>1.012</v>
      </c>
      <c r="J215" s="185">
        <f t="shared" si="116"/>
        <v>0</v>
      </c>
      <c r="K215" s="186">
        <f t="shared" si="117"/>
        <v>1</v>
      </c>
      <c r="L215" s="194">
        <f t="shared" si="118"/>
        <v>-1002.3</v>
      </c>
    </row>
    <row r="216" spans="1:13" x14ac:dyDescent="0.2">
      <c r="A216" s="73" t="s">
        <v>256</v>
      </c>
      <c r="B216" s="74" t="s">
        <v>153</v>
      </c>
      <c r="C216" s="75">
        <v>220.2</v>
      </c>
      <c r="D216" s="81">
        <v>201.9</v>
      </c>
      <c r="E216" s="81">
        <v>42.3</v>
      </c>
      <c r="F216" s="81">
        <v>42.3</v>
      </c>
      <c r="G216" s="81">
        <v>201.9</v>
      </c>
      <c r="H216" s="145">
        <f t="shared" si="115"/>
        <v>0</v>
      </c>
      <c r="I216" s="186">
        <v>0</v>
      </c>
      <c r="J216" s="185">
        <f t="shared" si="116"/>
        <v>0</v>
      </c>
      <c r="K216" s="186">
        <f t="shared" si="117"/>
        <v>1</v>
      </c>
      <c r="L216" s="194">
        <f t="shared" si="118"/>
        <v>159.6</v>
      </c>
    </row>
    <row r="217" spans="1:13" x14ac:dyDescent="0.2">
      <c r="A217" s="73"/>
      <c r="B217" s="74" t="s">
        <v>268</v>
      </c>
      <c r="C217" s="75">
        <v>2015.8</v>
      </c>
      <c r="D217" s="81">
        <v>4372.3</v>
      </c>
      <c r="E217" s="81">
        <v>422.3</v>
      </c>
      <c r="F217" s="81">
        <f>2627.8+115.8</f>
        <v>2743.6</v>
      </c>
      <c r="G217" s="81">
        <v>4372.3</v>
      </c>
      <c r="H217" s="145">
        <f t="shared" si="115"/>
        <v>3.0000000000000001E-3</v>
      </c>
      <c r="I217" s="186">
        <f>G217/E217</f>
        <v>10.353999999999999</v>
      </c>
      <c r="J217" s="185">
        <f t="shared" si="116"/>
        <v>0</v>
      </c>
      <c r="K217" s="186">
        <f t="shared" si="117"/>
        <v>1</v>
      </c>
      <c r="L217" s="194">
        <f t="shared" si="118"/>
        <v>1628.7</v>
      </c>
    </row>
    <row r="218" spans="1:13" ht="13.5" hidden="1" customHeight="1" x14ac:dyDescent="0.2">
      <c r="A218" s="13"/>
      <c r="B218" s="7" t="s">
        <v>94</v>
      </c>
      <c r="C218" s="75"/>
      <c r="D218" s="124"/>
      <c r="E218" s="124"/>
      <c r="F218" s="90" t="e">
        <f>#REF!</f>
        <v>#REF!</v>
      </c>
      <c r="G218" s="124"/>
      <c r="H218" s="128">
        <f t="shared" si="115"/>
        <v>0</v>
      </c>
      <c r="I218" s="153" t="e">
        <f>G218/E218</f>
        <v>#DIV/0!</v>
      </c>
      <c r="J218" s="185">
        <f t="shared" si="116"/>
        <v>0</v>
      </c>
      <c r="K218" s="186" t="e">
        <f t="shared" si="117"/>
        <v>#DIV/0!</v>
      </c>
      <c r="L218" s="194" t="e">
        <f>G218-#REF!</f>
        <v>#REF!</v>
      </c>
    </row>
    <row r="219" spans="1:13" ht="13.5" hidden="1" customHeight="1" x14ac:dyDescent="0.2">
      <c r="A219" s="115"/>
      <c r="B219" s="114" t="s">
        <v>26</v>
      </c>
      <c r="C219" s="75"/>
      <c r="D219" s="124"/>
      <c r="E219" s="124"/>
      <c r="F219" s="90" t="e">
        <f>#REF!</f>
        <v>#REF!</v>
      </c>
      <c r="G219" s="124"/>
      <c r="H219" s="128"/>
      <c r="I219" s="153" t="e">
        <f>G219/E219</f>
        <v>#DIV/0!</v>
      </c>
      <c r="J219" s="185"/>
      <c r="K219" s="186"/>
      <c r="L219" s="194"/>
    </row>
    <row r="220" spans="1:13" ht="27" hidden="1" customHeight="1" x14ac:dyDescent="0.2">
      <c r="A220" s="115"/>
      <c r="B220" s="114" t="s">
        <v>157</v>
      </c>
      <c r="C220" s="75"/>
      <c r="D220" s="124"/>
      <c r="E220" s="124"/>
      <c r="F220" s="90" t="e">
        <f>#REF!</f>
        <v>#REF!</v>
      </c>
      <c r="G220" s="124"/>
      <c r="H220" s="128">
        <f t="shared" ref="H220:H231" si="119">G220/$G$231</f>
        <v>0</v>
      </c>
      <c r="I220" s="153" t="e">
        <f>G220/E220</f>
        <v>#DIV/0!</v>
      </c>
      <c r="J220" s="185">
        <f t="shared" ref="J220:J231" si="120">G220-D220</f>
        <v>0</v>
      </c>
      <c r="K220" s="186" t="e">
        <f>G220/D220</f>
        <v>#DIV/0!</v>
      </c>
      <c r="L220" s="194" t="e">
        <f>G220-#REF!</f>
        <v>#REF!</v>
      </c>
    </row>
    <row r="221" spans="1:13" ht="26.25" customHeight="1" x14ac:dyDescent="0.2">
      <c r="A221" s="166"/>
      <c r="B221" s="222" t="s">
        <v>273</v>
      </c>
      <c r="C221" s="131">
        <v>1700</v>
      </c>
      <c r="D221" s="141">
        <v>1647.5</v>
      </c>
      <c r="E221" s="141">
        <v>891.6</v>
      </c>
      <c r="F221" s="90">
        <v>1808.6</v>
      </c>
      <c r="G221" s="141">
        <v>1647.5</v>
      </c>
      <c r="H221" s="144">
        <f t="shared" si="119"/>
        <v>1E-3</v>
      </c>
      <c r="I221" s="153">
        <f>G221/E221</f>
        <v>1.8480000000000001</v>
      </c>
      <c r="J221" s="185">
        <f t="shared" si="120"/>
        <v>0</v>
      </c>
      <c r="K221" s="186">
        <f>G221/D221</f>
        <v>1</v>
      </c>
      <c r="L221" s="194">
        <f t="shared" ref="L221:L231" si="121">G221-F221</f>
        <v>-161.1</v>
      </c>
    </row>
    <row r="222" spans="1:13" x14ac:dyDescent="0.2">
      <c r="A222" s="166"/>
      <c r="B222" s="222" t="s">
        <v>274</v>
      </c>
      <c r="C222" s="131">
        <v>0</v>
      </c>
      <c r="D222" s="141">
        <v>2391.1</v>
      </c>
      <c r="E222" s="141"/>
      <c r="F222" s="90">
        <f>350+115.8</f>
        <v>465.8</v>
      </c>
      <c r="G222" s="141">
        <v>2391.1</v>
      </c>
      <c r="H222" s="144">
        <f t="shared" si="119"/>
        <v>2E-3</v>
      </c>
      <c r="I222" s="153"/>
      <c r="J222" s="185">
        <f t="shared" si="120"/>
        <v>0</v>
      </c>
      <c r="K222" s="186">
        <f>G222/D222</f>
        <v>1</v>
      </c>
      <c r="L222" s="194">
        <f t="shared" si="121"/>
        <v>1925.3</v>
      </c>
    </row>
    <row r="223" spans="1:13" x14ac:dyDescent="0.2">
      <c r="A223" s="166"/>
      <c r="B223" s="223" t="s">
        <v>275</v>
      </c>
      <c r="C223" s="131">
        <v>60.8</v>
      </c>
      <c r="D223" s="141">
        <v>229.9</v>
      </c>
      <c r="E223" s="141"/>
      <c r="F223" s="90">
        <v>47</v>
      </c>
      <c r="G223" s="141">
        <v>229.9</v>
      </c>
      <c r="H223" s="144">
        <f t="shared" si="119"/>
        <v>0</v>
      </c>
      <c r="I223" s="153"/>
      <c r="J223" s="185">
        <f t="shared" si="120"/>
        <v>0</v>
      </c>
      <c r="K223" s="186">
        <f>G223/D223</f>
        <v>1</v>
      </c>
      <c r="L223" s="194">
        <f t="shared" si="121"/>
        <v>182.9</v>
      </c>
    </row>
    <row r="224" spans="1:13" ht="67.5" x14ac:dyDescent="0.2">
      <c r="A224" s="12" t="s">
        <v>272</v>
      </c>
      <c r="B224" s="7" t="s">
        <v>269</v>
      </c>
      <c r="C224" s="131">
        <v>0</v>
      </c>
      <c r="D224" s="141">
        <v>352.2</v>
      </c>
      <c r="E224" s="141">
        <v>115.8</v>
      </c>
      <c r="F224" s="90">
        <v>115.8</v>
      </c>
      <c r="G224" s="141">
        <v>352.2</v>
      </c>
      <c r="H224" s="144">
        <f t="shared" si="119"/>
        <v>0</v>
      </c>
      <c r="I224" s="153">
        <v>0</v>
      </c>
      <c r="J224" s="185">
        <f t="shared" si="120"/>
        <v>0</v>
      </c>
      <c r="K224" s="186">
        <f>G224/D224</f>
        <v>1</v>
      </c>
      <c r="L224" s="194">
        <f t="shared" si="121"/>
        <v>236.4</v>
      </c>
    </row>
    <row r="225" spans="1:12" ht="27" x14ac:dyDescent="0.2">
      <c r="A225" s="62" t="s">
        <v>217</v>
      </c>
      <c r="B225" s="66" t="s">
        <v>218</v>
      </c>
      <c r="C225" s="65">
        <f>C226</f>
        <v>400</v>
      </c>
      <c r="D225" s="65">
        <f>D226</f>
        <v>0</v>
      </c>
      <c r="E225" s="65">
        <f t="shared" ref="E225" si="122">E226</f>
        <v>138.69999999999999</v>
      </c>
      <c r="F225" s="65">
        <f>F226</f>
        <v>285.10000000000002</v>
      </c>
      <c r="G225" s="65">
        <f>G226</f>
        <v>0</v>
      </c>
      <c r="H225" s="64">
        <f t="shared" si="119"/>
        <v>0</v>
      </c>
      <c r="I225" s="153">
        <f t="shared" ref="I225:I231" si="123">G225/E225</f>
        <v>0</v>
      </c>
      <c r="J225" s="154">
        <f t="shared" si="120"/>
        <v>0</v>
      </c>
      <c r="K225" s="153">
        <v>0</v>
      </c>
      <c r="L225" s="155">
        <f>G225-F225</f>
        <v>-285.10000000000002</v>
      </c>
    </row>
    <row r="226" spans="1:12" ht="67.5" x14ac:dyDescent="0.2">
      <c r="A226" s="166"/>
      <c r="B226" s="114" t="s">
        <v>270</v>
      </c>
      <c r="C226" s="131">
        <v>400</v>
      </c>
      <c r="D226" s="141">
        <v>0</v>
      </c>
      <c r="E226" s="141">
        <v>138.69999999999999</v>
      </c>
      <c r="F226" s="141">
        <v>285.10000000000002</v>
      </c>
      <c r="G226" s="141">
        <v>0</v>
      </c>
      <c r="H226" s="144">
        <f t="shared" ref="H226" si="124">G226/$G$231</f>
        <v>0</v>
      </c>
      <c r="I226" s="153">
        <f t="shared" si="123"/>
        <v>0</v>
      </c>
      <c r="J226" s="185">
        <f t="shared" si="120"/>
        <v>0</v>
      </c>
      <c r="K226" s="186">
        <v>0</v>
      </c>
      <c r="L226" s="194">
        <f t="shared" ref="L226" si="125">G226-F226</f>
        <v>-285.10000000000002</v>
      </c>
    </row>
    <row r="227" spans="1:12" s="21" customFormat="1" ht="27" x14ac:dyDescent="0.2">
      <c r="A227" s="69">
        <v>1300</v>
      </c>
      <c r="B227" s="66" t="s">
        <v>102</v>
      </c>
      <c r="C227" s="155">
        <f>C228</f>
        <v>19187.8</v>
      </c>
      <c r="D227" s="155">
        <f>D228</f>
        <v>14571</v>
      </c>
      <c r="E227" s="155">
        <f t="shared" ref="E227" si="126">E228</f>
        <v>13680.8</v>
      </c>
      <c r="F227" s="155">
        <f>F228</f>
        <v>18136.2</v>
      </c>
      <c r="G227" s="155">
        <f>G228</f>
        <v>14571</v>
      </c>
      <c r="H227" s="153">
        <f t="shared" si="119"/>
        <v>0.01</v>
      </c>
      <c r="I227" s="153">
        <f t="shared" si="123"/>
        <v>1.0649999999999999</v>
      </c>
      <c r="J227" s="154">
        <f t="shared" si="120"/>
        <v>0</v>
      </c>
      <c r="K227" s="153">
        <f>G227/D227</f>
        <v>1</v>
      </c>
      <c r="L227" s="155">
        <f t="shared" si="121"/>
        <v>-3565.2</v>
      </c>
    </row>
    <row r="228" spans="1:12" s="30" customFormat="1" ht="27" x14ac:dyDescent="0.2">
      <c r="A228" s="12" t="s">
        <v>69</v>
      </c>
      <c r="B228" s="26" t="s">
        <v>103</v>
      </c>
      <c r="C228" s="132">
        <v>19187.8</v>
      </c>
      <c r="D228" s="132">
        <v>14571</v>
      </c>
      <c r="E228" s="132">
        <v>13680.8</v>
      </c>
      <c r="F228" s="140">
        <v>18136.2</v>
      </c>
      <c r="G228" s="140">
        <v>14571</v>
      </c>
      <c r="H228" s="144">
        <f t="shared" si="119"/>
        <v>0.01</v>
      </c>
      <c r="I228" s="153">
        <f t="shared" si="123"/>
        <v>1.0649999999999999</v>
      </c>
      <c r="J228" s="185">
        <f t="shared" si="120"/>
        <v>0</v>
      </c>
      <c r="K228" s="186">
        <f>G228/D228</f>
        <v>1</v>
      </c>
      <c r="L228" s="194">
        <f t="shared" si="121"/>
        <v>-3565.2</v>
      </c>
    </row>
    <row r="229" spans="1:12" s="21" customFormat="1" ht="40.5" x14ac:dyDescent="0.2">
      <c r="A229" s="69">
        <v>1400</v>
      </c>
      <c r="B229" s="66" t="s">
        <v>141</v>
      </c>
      <c r="C229" s="155">
        <f>C230</f>
        <v>174007.1</v>
      </c>
      <c r="D229" s="155">
        <f>D230</f>
        <v>174007.1</v>
      </c>
      <c r="E229" s="155">
        <f t="shared" ref="E229" si="127">E230</f>
        <v>70400</v>
      </c>
      <c r="F229" s="65">
        <f>F230</f>
        <v>111400</v>
      </c>
      <c r="G229" s="65">
        <f>G230</f>
        <v>174007.1</v>
      </c>
      <c r="H229" s="64">
        <f t="shared" si="119"/>
        <v>0.11700000000000001</v>
      </c>
      <c r="I229" s="153">
        <f t="shared" si="123"/>
        <v>2.472</v>
      </c>
      <c r="J229" s="154">
        <f t="shared" si="120"/>
        <v>0</v>
      </c>
      <c r="K229" s="153">
        <f>G229/D229</f>
        <v>1</v>
      </c>
      <c r="L229" s="155">
        <f t="shared" si="121"/>
        <v>62607.1</v>
      </c>
    </row>
    <row r="230" spans="1:12" s="30" customFormat="1" x14ac:dyDescent="0.2">
      <c r="A230" s="12" t="s">
        <v>140</v>
      </c>
      <c r="B230" s="26" t="s">
        <v>142</v>
      </c>
      <c r="C230" s="132">
        <v>174007.1</v>
      </c>
      <c r="D230" s="132">
        <v>174007.1</v>
      </c>
      <c r="E230" s="132">
        <v>70400</v>
      </c>
      <c r="F230" s="140">
        <v>111400</v>
      </c>
      <c r="G230" s="140">
        <v>174007.1</v>
      </c>
      <c r="H230" s="144">
        <f t="shared" si="119"/>
        <v>0.11700000000000001</v>
      </c>
      <c r="I230" s="153">
        <f t="shared" si="123"/>
        <v>2.472</v>
      </c>
      <c r="J230" s="185">
        <f t="shared" si="120"/>
        <v>0</v>
      </c>
      <c r="K230" s="186">
        <f>G230/D230</f>
        <v>1</v>
      </c>
      <c r="L230" s="194">
        <f t="shared" si="121"/>
        <v>62607.1</v>
      </c>
    </row>
    <row r="231" spans="1:12" s="21" customFormat="1" ht="16.5" x14ac:dyDescent="0.2">
      <c r="A231" s="62"/>
      <c r="B231" s="70" t="s">
        <v>53</v>
      </c>
      <c r="C231" s="155">
        <f>C69+C84+C91+C122+C167+C186+C204+C207+C227+C229</f>
        <v>1387589.7</v>
      </c>
      <c r="D231" s="155">
        <f>D69+D84+D91+D122+D167+D186+D204+D207+D227+D229</f>
        <v>1548399.3</v>
      </c>
      <c r="E231" s="228">
        <f>E69+E84+E91+E122+E167+E186+E204+E207+E227+E229</f>
        <v>850558.3</v>
      </c>
      <c r="F231" s="155">
        <f>F69+F84+F91+F122+F167+F186+F204+F207+F227+F229</f>
        <v>1426337.7</v>
      </c>
      <c r="G231" s="155">
        <f>G69+G84+G91+G122+G167+G186+G204+G207+G227+G229</f>
        <v>1483344.4</v>
      </c>
      <c r="H231" s="64">
        <f t="shared" si="119"/>
        <v>1</v>
      </c>
      <c r="I231" s="153">
        <f t="shared" si="123"/>
        <v>1.744</v>
      </c>
      <c r="J231" s="154">
        <f t="shared" si="120"/>
        <v>-65054.9</v>
      </c>
      <c r="K231" s="153">
        <f>G231/D231</f>
        <v>0.95799999999999996</v>
      </c>
      <c r="L231" s="155">
        <f t="shared" si="121"/>
        <v>57006.7</v>
      </c>
    </row>
    <row r="232" spans="1:12" s="1" customFormat="1" ht="22.5" customHeight="1" x14ac:dyDescent="0.2">
      <c r="A232" s="25"/>
      <c r="B232" s="55"/>
      <c r="C232" s="174"/>
      <c r="D232" s="174"/>
      <c r="E232" s="174"/>
      <c r="F232" s="174"/>
      <c r="G232" s="174"/>
      <c r="H232" s="156"/>
      <c r="I232" s="198"/>
      <c r="J232" s="199"/>
      <c r="K232" s="198"/>
      <c r="L232" s="200"/>
    </row>
    <row r="233" spans="1:12" ht="21.75" customHeight="1" x14ac:dyDescent="0.2">
      <c r="A233" s="206"/>
      <c r="B233" s="207" t="s">
        <v>62</v>
      </c>
      <c r="C233" s="244">
        <f>C66-C231</f>
        <v>0</v>
      </c>
      <c r="D233" s="246">
        <f>D66-D231</f>
        <v>-1562.1</v>
      </c>
      <c r="E233" s="246">
        <f>E66-E231</f>
        <v>-222022.39999999999</v>
      </c>
      <c r="F233" s="246">
        <f>F66-F231</f>
        <v>-6110</v>
      </c>
      <c r="G233" s="246">
        <f>G66-G231</f>
        <v>25496.400000000001</v>
      </c>
      <c r="H233" s="234">
        <f>G233/G6</f>
        <v>3.5999999999999997E-2</v>
      </c>
      <c r="I233" s="238">
        <f>G233/E233</f>
        <v>-0.115</v>
      </c>
      <c r="J233" s="236"/>
      <c r="K233" s="238"/>
      <c r="L233" s="241"/>
    </row>
    <row r="234" spans="1:12" ht="18.75" customHeight="1" x14ac:dyDescent="0.2">
      <c r="A234" s="206"/>
      <c r="B234" s="207" t="s">
        <v>63</v>
      </c>
      <c r="C234" s="245"/>
      <c r="D234" s="247"/>
      <c r="E234" s="247"/>
      <c r="F234" s="247"/>
      <c r="G234" s="247"/>
      <c r="H234" s="235"/>
      <c r="I234" s="239"/>
      <c r="J234" s="237"/>
      <c r="K234" s="239"/>
      <c r="L234" s="242"/>
    </row>
    <row r="235" spans="1:12" ht="30" hidden="1" customHeight="1" x14ac:dyDescent="0.2">
      <c r="A235" s="206"/>
      <c r="B235" s="207" t="s">
        <v>64</v>
      </c>
      <c r="C235" s="208">
        <f>C236+C239</f>
        <v>0</v>
      </c>
      <c r="D235" s="97">
        <f>D236+D239</f>
        <v>1562.1</v>
      </c>
      <c r="E235" s="97">
        <f t="shared" ref="E235" si="128">E236+E239</f>
        <v>222022.39999999999</v>
      </c>
      <c r="F235" s="97">
        <f>F236+F239</f>
        <v>1754.6</v>
      </c>
      <c r="G235" s="97">
        <f>G236+G239</f>
        <v>-9732.4</v>
      </c>
      <c r="H235" s="164">
        <f>G235/G6</f>
        <v>-1.4E-2</v>
      </c>
      <c r="I235" s="201">
        <f>G235/E235</f>
        <v>-4.3999999999999997E-2</v>
      </c>
      <c r="J235" s="154">
        <f>G235-D235</f>
        <v>-11294.5</v>
      </c>
      <c r="K235" s="153">
        <f>G235/D235</f>
        <v>-6.23</v>
      </c>
      <c r="L235" s="155">
        <f>G235-F235</f>
        <v>-11487</v>
      </c>
    </row>
    <row r="236" spans="1:12" ht="29.25" hidden="1" customHeight="1" x14ac:dyDescent="0.2">
      <c r="A236" s="209" t="s">
        <v>78</v>
      </c>
      <c r="B236" s="210" t="s">
        <v>79</v>
      </c>
      <c r="C236" s="203">
        <f>C237+C238</f>
        <v>0</v>
      </c>
      <c r="D236" s="98">
        <v>0</v>
      </c>
      <c r="E236" s="98">
        <f>E237+E238</f>
        <v>0</v>
      </c>
      <c r="F236" s="98">
        <f>F237+F238</f>
        <v>0</v>
      </c>
      <c r="G236" s="98">
        <f>G237+G238</f>
        <v>0</v>
      </c>
      <c r="H236" s="164">
        <v>0</v>
      </c>
      <c r="I236" s="201">
        <v>0</v>
      </c>
      <c r="J236" s="155">
        <v>0</v>
      </c>
      <c r="K236" s="153">
        <v>0</v>
      </c>
      <c r="L236" s="155">
        <f>G236-F236</f>
        <v>0</v>
      </c>
    </row>
    <row r="237" spans="1:12" s="30" customFormat="1" ht="27.75" hidden="1" customHeight="1" x14ac:dyDescent="0.2">
      <c r="A237" s="211" t="s">
        <v>74</v>
      </c>
      <c r="B237" s="212" t="s">
        <v>75</v>
      </c>
      <c r="C237" s="87">
        <v>198500</v>
      </c>
      <c r="D237" s="87">
        <v>278500</v>
      </c>
      <c r="E237" s="87">
        <v>-118500</v>
      </c>
      <c r="F237" s="87">
        <v>118500</v>
      </c>
      <c r="G237" s="87">
        <v>278500</v>
      </c>
      <c r="H237" s="205">
        <v>0</v>
      </c>
      <c r="I237" s="202">
        <f>G237/E237</f>
        <v>-2.35</v>
      </c>
      <c r="J237" s="191">
        <f>G237-D237</f>
        <v>0</v>
      </c>
      <c r="K237" s="195">
        <f>G237/D237</f>
        <v>1</v>
      </c>
      <c r="L237" s="196">
        <f>G237-F237</f>
        <v>160000</v>
      </c>
    </row>
    <row r="238" spans="1:12" s="30" customFormat="1" ht="33" hidden="1" customHeight="1" x14ac:dyDescent="0.2">
      <c r="A238" s="211" t="s">
        <v>76</v>
      </c>
      <c r="B238" s="212" t="s">
        <v>77</v>
      </c>
      <c r="C238" s="87">
        <v>-198500</v>
      </c>
      <c r="D238" s="87">
        <v>-278500</v>
      </c>
      <c r="E238" s="87">
        <v>118500</v>
      </c>
      <c r="F238" s="87">
        <v>-118500</v>
      </c>
      <c r="G238" s="87">
        <v>-278500</v>
      </c>
      <c r="H238" s="205">
        <v>0</v>
      </c>
      <c r="I238" s="202">
        <f>G238/E238</f>
        <v>-2.35</v>
      </c>
      <c r="J238" s="191">
        <f>G238-D238</f>
        <v>0</v>
      </c>
      <c r="K238" s="195">
        <f>G238/D238</f>
        <v>1</v>
      </c>
      <c r="L238" s="196">
        <f>G238-F238</f>
        <v>-160000</v>
      </c>
    </row>
    <row r="239" spans="1:12" ht="27.75" hidden="1" customHeight="1" x14ac:dyDescent="0.2">
      <c r="A239" s="209" t="s">
        <v>80</v>
      </c>
      <c r="B239" s="210" t="s">
        <v>81</v>
      </c>
      <c r="C239" s="203">
        <f>C240+C241</f>
        <v>0</v>
      </c>
      <c r="D239" s="203">
        <f>D240+D241</f>
        <v>1562.1</v>
      </c>
      <c r="E239" s="203">
        <f t="shared" ref="E239" si="129">E240+E241</f>
        <v>222022.39999999999</v>
      </c>
      <c r="F239" s="203">
        <f>F240+F241</f>
        <v>1754.6</v>
      </c>
      <c r="G239" s="203">
        <f>G240+G241</f>
        <v>-9732.4</v>
      </c>
      <c r="H239" s="204">
        <f>G239/G235</f>
        <v>1</v>
      </c>
      <c r="I239" s="201">
        <f>G239/E239</f>
        <v>-4.3999999999999997E-2</v>
      </c>
      <c r="J239" s="154">
        <f>G239-D239</f>
        <v>-11294.5</v>
      </c>
      <c r="K239" s="153">
        <f>G239/D239</f>
        <v>-6.23</v>
      </c>
      <c r="L239" s="193">
        <f>G239-F239</f>
        <v>-11487</v>
      </c>
    </row>
    <row r="240" spans="1:12" ht="26.25" hidden="1" customHeight="1" x14ac:dyDescent="0.2">
      <c r="A240" s="79" t="s">
        <v>82</v>
      </c>
      <c r="B240" s="80" t="s">
        <v>49</v>
      </c>
      <c r="C240" s="87">
        <f>-(C66+C237)</f>
        <v>-1586089.7</v>
      </c>
      <c r="D240" s="87">
        <f>-(D66+D237)</f>
        <v>-1825337.2</v>
      </c>
      <c r="E240" s="87">
        <f>-(E66+E237)</f>
        <v>-510035.9</v>
      </c>
      <c r="F240" s="87">
        <v>-987882.1</v>
      </c>
      <c r="G240" s="87">
        <v>-986160.9</v>
      </c>
      <c r="H240" s="205">
        <v>0</v>
      </c>
      <c r="I240" s="202">
        <v>0</v>
      </c>
      <c r="J240" s="185">
        <f>G240-D240</f>
        <v>839176.3</v>
      </c>
      <c r="K240" s="186">
        <f>G240/D240</f>
        <v>0.54</v>
      </c>
      <c r="L240" s="194">
        <f>-(L66)</f>
        <v>-88613.1</v>
      </c>
    </row>
    <row r="241" spans="1:12" ht="27" hidden="1" customHeight="1" x14ac:dyDescent="0.2">
      <c r="A241" s="79" t="s">
        <v>83</v>
      </c>
      <c r="B241" s="80" t="s">
        <v>50</v>
      </c>
      <c r="C241" s="87">
        <f>C231+(-C238)</f>
        <v>1586089.7</v>
      </c>
      <c r="D241" s="87">
        <f t="shared" ref="D241:E241" si="130">D231+(-D238)</f>
        <v>1826899.3</v>
      </c>
      <c r="E241" s="87">
        <f t="shared" si="130"/>
        <v>732058.3</v>
      </c>
      <c r="F241" s="87">
        <v>989636.7</v>
      </c>
      <c r="G241" s="87">
        <v>976428.5</v>
      </c>
      <c r="H241" s="205">
        <v>0</v>
      </c>
      <c r="I241" s="202">
        <f>G241/E241</f>
        <v>1.3340000000000001</v>
      </c>
      <c r="J241" s="185">
        <f>G241-D241</f>
        <v>-850470.8</v>
      </c>
      <c r="K241" s="186">
        <f>G241/D241</f>
        <v>0.53400000000000003</v>
      </c>
      <c r="L241" s="194">
        <f>L231</f>
        <v>57006.7</v>
      </c>
    </row>
    <row r="242" spans="1:12" x14ac:dyDescent="0.2">
      <c r="B242" s="179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</row>
    <row r="243" spans="1:12" x14ac:dyDescent="0.2">
      <c r="A243" s="53"/>
      <c r="C243" s="225"/>
      <c r="D243" s="24"/>
      <c r="E243" s="24"/>
      <c r="H243" s="51" t="s">
        <v>9</v>
      </c>
      <c r="I243" s="51"/>
    </row>
    <row r="244" spans="1:12" x14ac:dyDescent="0.2">
      <c r="B244" s="56"/>
      <c r="C244" s="57"/>
      <c r="D244" s="58"/>
      <c r="E244" s="58"/>
      <c r="F244" s="58"/>
      <c r="G244" s="58"/>
      <c r="H244" s="59"/>
      <c r="I244" s="59"/>
      <c r="J244" s="59"/>
      <c r="K244" s="51" t="s">
        <v>9</v>
      </c>
      <c r="L244" s="2"/>
    </row>
    <row r="245" spans="1:12" x14ac:dyDescent="0.2">
      <c r="B245" s="60"/>
      <c r="C245" s="60"/>
      <c r="D245" s="58"/>
      <c r="E245" s="58"/>
      <c r="F245" s="59"/>
      <c r="G245" s="59"/>
      <c r="H245" s="59"/>
      <c r="I245" s="59"/>
      <c r="J245" s="61"/>
    </row>
    <row r="246" spans="1:12" x14ac:dyDescent="0.2">
      <c r="H246" s="51"/>
      <c r="I246" s="51"/>
    </row>
    <row r="247" spans="1:12" x14ac:dyDescent="0.2">
      <c r="H247" s="51"/>
      <c r="I247" s="51"/>
    </row>
    <row r="248" spans="1:12" x14ac:dyDescent="0.2">
      <c r="H248" s="51"/>
      <c r="I248" s="51"/>
    </row>
    <row r="249" spans="1:12" x14ac:dyDescent="0.2">
      <c r="F249" s="231"/>
      <c r="H249" s="51"/>
      <c r="I249" s="51"/>
    </row>
    <row r="250" spans="1:12" x14ac:dyDescent="0.2">
      <c r="H250" s="51"/>
      <c r="I250" s="51"/>
    </row>
    <row r="251" spans="1:12" x14ac:dyDescent="0.2">
      <c r="H251" s="51"/>
      <c r="I251" s="51"/>
    </row>
    <row r="252" spans="1:12" x14ac:dyDescent="0.2">
      <c r="H252" s="51"/>
      <c r="I252" s="51"/>
    </row>
    <row r="253" spans="1:12" x14ac:dyDescent="0.2">
      <c r="H253" s="51"/>
      <c r="I253" s="51"/>
    </row>
    <row r="254" spans="1:12" x14ac:dyDescent="0.2">
      <c r="H254" s="51"/>
      <c r="I254" s="51"/>
    </row>
    <row r="255" spans="1:12" x14ac:dyDescent="0.2">
      <c r="H255" s="51"/>
      <c r="I255" s="51"/>
    </row>
    <row r="256" spans="1:12" x14ac:dyDescent="0.2">
      <c r="H256" s="51"/>
      <c r="I256" s="51"/>
    </row>
    <row r="257" spans="8:9" x14ac:dyDescent="0.2">
      <c r="H257" s="51"/>
      <c r="I257" s="51"/>
    </row>
    <row r="258" spans="8:9" x14ac:dyDescent="0.2">
      <c r="H258" s="51"/>
      <c r="I258" s="51"/>
    </row>
    <row r="259" spans="8:9" x14ac:dyDescent="0.2">
      <c r="H259" s="51"/>
      <c r="I259" s="51"/>
    </row>
    <row r="260" spans="8:9" x14ac:dyDescent="0.2">
      <c r="H260" s="51"/>
      <c r="I260" s="51"/>
    </row>
    <row r="261" spans="8:9" x14ac:dyDescent="0.2">
      <c r="H261" s="51"/>
      <c r="I261" s="51"/>
    </row>
    <row r="262" spans="8:9" x14ac:dyDescent="0.2">
      <c r="H262" s="51"/>
      <c r="I262" s="51"/>
    </row>
    <row r="263" spans="8:9" x14ac:dyDescent="0.2">
      <c r="H263" s="51"/>
      <c r="I263" s="51"/>
    </row>
    <row r="264" spans="8:9" x14ac:dyDescent="0.2">
      <c r="H264" s="51"/>
      <c r="I264" s="51"/>
    </row>
    <row r="265" spans="8:9" x14ac:dyDescent="0.2">
      <c r="H265" s="51"/>
      <c r="I265" s="51"/>
    </row>
    <row r="266" spans="8:9" x14ac:dyDescent="0.2">
      <c r="H266" s="51"/>
      <c r="I266" s="51"/>
    </row>
    <row r="267" spans="8:9" x14ac:dyDescent="0.2">
      <c r="H267" s="51"/>
      <c r="I267" s="51"/>
    </row>
    <row r="268" spans="8:9" x14ac:dyDescent="0.2">
      <c r="H268" s="51"/>
      <c r="I268" s="51"/>
    </row>
    <row r="269" spans="8:9" x14ac:dyDescent="0.2">
      <c r="H269" s="51"/>
      <c r="I269" s="51"/>
    </row>
    <row r="270" spans="8:9" x14ac:dyDescent="0.2">
      <c r="H270" s="51"/>
      <c r="I270" s="51"/>
    </row>
    <row r="271" spans="8:9" x14ac:dyDescent="0.2">
      <c r="H271" s="51"/>
      <c r="I271" s="51"/>
    </row>
    <row r="272" spans="8:9" x14ac:dyDescent="0.2">
      <c r="H272" s="51"/>
      <c r="I272" s="51"/>
    </row>
    <row r="273" spans="8:9" x14ac:dyDescent="0.2">
      <c r="H273" s="51"/>
      <c r="I273" s="51"/>
    </row>
    <row r="274" spans="8:9" x14ac:dyDescent="0.2">
      <c r="H274" s="51"/>
      <c r="I274" s="51"/>
    </row>
    <row r="275" spans="8:9" x14ac:dyDescent="0.2">
      <c r="H275" s="51"/>
      <c r="I275" s="51"/>
    </row>
    <row r="276" spans="8:9" x14ac:dyDescent="0.2">
      <c r="H276" s="51"/>
      <c r="I276" s="51"/>
    </row>
    <row r="277" spans="8:9" x14ac:dyDescent="0.2">
      <c r="H277" s="51"/>
      <c r="I277" s="51"/>
    </row>
    <row r="278" spans="8:9" x14ac:dyDescent="0.2">
      <c r="H278" s="51"/>
      <c r="I278" s="51"/>
    </row>
    <row r="279" spans="8:9" x14ac:dyDescent="0.2">
      <c r="H279" s="51"/>
      <c r="I279" s="51"/>
    </row>
    <row r="280" spans="8:9" x14ac:dyDescent="0.2">
      <c r="H280" s="51"/>
      <c r="I280" s="51"/>
    </row>
    <row r="281" spans="8:9" x14ac:dyDescent="0.2">
      <c r="H281" s="51"/>
      <c r="I281" s="51"/>
    </row>
    <row r="282" spans="8:9" x14ac:dyDescent="0.2">
      <c r="H282" s="51"/>
      <c r="I282" s="51"/>
    </row>
    <row r="283" spans="8:9" x14ac:dyDescent="0.2">
      <c r="H283" s="51"/>
      <c r="I283" s="51"/>
    </row>
    <row r="284" spans="8:9" x14ac:dyDescent="0.2">
      <c r="H284" s="51"/>
      <c r="I284" s="51"/>
    </row>
    <row r="285" spans="8:9" x14ac:dyDescent="0.2">
      <c r="H285" s="51"/>
      <c r="I285" s="51"/>
    </row>
    <row r="286" spans="8:9" x14ac:dyDescent="0.2">
      <c r="H286" s="51"/>
      <c r="I286" s="51"/>
    </row>
    <row r="287" spans="8:9" x14ac:dyDescent="0.2">
      <c r="H287" s="51"/>
      <c r="I287" s="51"/>
    </row>
    <row r="288" spans="8:9" x14ac:dyDescent="0.2">
      <c r="H288" s="51"/>
      <c r="I288" s="51"/>
    </row>
    <row r="289" spans="8:9" x14ac:dyDescent="0.2">
      <c r="H289" s="51"/>
      <c r="I289" s="51"/>
    </row>
    <row r="290" spans="8:9" x14ac:dyDescent="0.2">
      <c r="H290" s="51"/>
      <c r="I290" s="51"/>
    </row>
    <row r="291" spans="8:9" x14ac:dyDescent="0.2">
      <c r="H291" s="51"/>
      <c r="I291" s="51"/>
    </row>
    <row r="292" spans="8:9" x14ac:dyDescent="0.2">
      <c r="H292" s="51"/>
      <c r="I292" s="51"/>
    </row>
    <row r="293" spans="8:9" x14ac:dyDescent="0.2">
      <c r="H293" s="51"/>
      <c r="I293" s="51"/>
    </row>
    <row r="294" spans="8:9" x14ac:dyDescent="0.2">
      <c r="H294" s="51"/>
      <c r="I294" s="51"/>
    </row>
    <row r="295" spans="8:9" x14ac:dyDescent="0.2">
      <c r="H295" s="51"/>
      <c r="I295" s="51"/>
    </row>
    <row r="296" spans="8:9" x14ac:dyDescent="0.2">
      <c r="H296" s="51"/>
      <c r="I296" s="51"/>
    </row>
    <row r="297" spans="8:9" x14ac:dyDescent="0.2">
      <c r="H297" s="51"/>
      <c r="I297" s="51"/>
    </row>
    <row r="298" spans="8:9" x14ac:dyDescent="0.2">
      <c r="H298" s="51"/>
      <c r="I298" s="51"/>
    </row>
    <row r="299" spans="8:9" x14ac:dyDescent="0.2">
      <c r="H299" s="51"/>
      <c r="I299" s="51"/>
    </row>
    <row r="300" spans="8:9" x14ac:dyDescent="0.2">
      <c r="H300" s="51"/>
      <c r="I300" s="51"/>
    </row>
    <row r="301" spans="8:9" x14ac:dyDescent="0.2">
      <c r="H301" s="51"/>
      <c r="I301" s="51"/>
    </row>
    <row r="302" spans="8:9" x14ac:dyDescent="0.2">
      <c r="H302" s="51"/>
      <c r="I302" s="51"/>
    </row>
    <row r="303" spans="8:9" x14ac:dyDescent="0.2">
      <c r="H303" s="51"/>
      <c r="I303" s="51"/>
    </row>
    <row r="304" spans="8:9" x14ac:dyDescent="0.2">
      <c r="H304" s="51"/>
      <c r="I304" s="51"/>
    </row>
    <row r="305" spans="8:9" x14ac:dyDescent="0.2">
      <c r="H305" s="51"/>
      <c r="I305" s="51"/>
    </row>
    <row r="306" spans="8:9" x14ac:dyDescent="0.2">
      <c r="H306" s="51"/>
      <c r="I306" s="51"/>
    </row>
    <row r="307" spans="8:9" x14ac:dyDescent="0.2">
      <c r="H307" s="51"/>
      <c r="I307" s="51"/>
    </row>
    <row r="308" spans="8:9" x14ac:dyDescent="0.2">
      <c r="H308" s="51"/>
      <c r="I308" s="51"/>
    </row>
    <row r="309" spans="8:9" x14ac:dyDescent="0.2">
      <c r="H309" s="51"/>
      <c r="I309" s="51"/>
    </row>
    <row r="310" spans="8:9" x14ac:dyDescent="0.2">
      <c r="H310" s="51"/>
      <c r="I310" s="51"/>
    </row>
    <row r="311" spans="8:9" x14ac:dyDescent="0.2">
      <c r="H311" s="51"/>
      <c r="I311" s="51"/>
    </row>
    <row r="312" spans="8:9" x14ac:dyDescent="0.2">
      <c r="H312" s="51"/>
      <c r="I312" s="51"/>
    </row>
    <row r="313" spans="8:9" x14ac:dyDescent="0.2">
      <c r="H313" s="51"/>
      <c r="I313" s="51"/>
    </row>
    <row r="314" spans="8:9" x14ac:dyDescent="0.2">
      <c r="H314" s="51"/>
      <c r="I314" s="51"/>
    </row>
    <row r="315" spans="8:9" x14ac:dyDescent="0.2">
      <c r="H315" s="51"/>
      <c r="I315" s="51"/>
    </row>
    <row r="316" spans="8:9" x14ac:dyDescent="0.2">
      <c r="H316" s="51"/>
      <c r="I316" s="51"/>
    </row>
    <row r="317" spans="8:9" x14ac:dyDescent="0.2">
      <c r="H317" s="51"/>
      <c r="I317" s="51"/>
    </row>
    <row r="318" spans="8:9" x14ac:dyDescent="0.2">
      <c r="H318" s="51"/>
      <c r="I318" s="51"/>
    </row>
    <row r="319" spans="8:9" x14ac:dyDescent="0.2">
      <c r="H319" s="51"/>
      <c r="I319" s="51"/>
    </row>
    <row r="320" spans="8:9" x14ac:dyDescent="0.2">
      <c r="H320" s="51"/>
      <c r="I320" s="51"/>
    </row>
    <row r="321" spans="8:9" x14ac:dyDescent="0.2">
      <c r="H321" s="51"/>
      <c r="I321" s="51"/>
    </row>
    <row r="322" spans="8:9" x14ac:dyDescent="0.2">
      <c r="H322" s="51"/>
      <c r="I322" s="51"/>
    </row>
    <row r="323" spans="8:9" x14ac:dyDescent="0.2">
      <c r="H323" s="51"/>
      <c r="I323" s="51"/>
    </row>
    <row r="324" spans="8:9" x14ac:dyDescent="0.2">
      <c r="H324" s="51"/>
      <c r="I324" s="51"/>
    </row>
    <row r="325" spans="8:9" x14ac:dyDescent="0.2">
      <c r="H325" s="51"/>
      <c r="I325" s="51"/>
    </row>
    <row r="326" spans="8:9" x14ac:dyDescent="0.2">
      <c r="H326" s="51"/>
      <c r="I326" s="51"/>
    </row>
    <row r="327" spans="8:9" x14ac:dyDescent="0.2">
      <c r="H327" s="51"/>
      <c r="I327" s="51"/>
    </row>
    <row r="328" spans="8:9" x14ac:dyDescent="0.2">
      <c r="H328" s="51"/>
      <c r="I328" s="51"/>
    </row>
    <row r="329" spans="8:9" x14ac:dyDescent="0.2">
      <c r="H329" s="51"/>
      <c r="I329" s="51"/>
    </row>
    <row r="330" spans="8:9" x14ac:dyDescent="0.2">
      <c r="H330" s="51"/>
      <c r="I330" s="51"/>
    </row>
    <row r="331" spans="8:9" x14ac:dyDescent="0.2">
      <c r="H331" s="51"/>
      <c r="I331" s="51"/>
    </row>
    <row r="332" spans="8:9" x14ac:dyDescent="0.2">
      <c r="H332" s="51"/>
      <c r="I332" s="51"/>
    </row>
    <row r="333" spans="8:9" x14ac:dyDescent="0.2">
      <c r="H333" s="51"/>
      <c r="I333" s="51"/>
    </row>
    <row r="334" spans="8:9" x14ac:dyDescent="0.2">
      <c r="H334" s="51"/>
      <c r="I334" s="51"/>
    </row>
    <row r="335" spans="8:9" x14ac:dyDescent="0.2">
      <c r="H335" s="51"/>
      <c r="I335" s="51"/>
    </row>
    <row r="336" spans="8:9" x14ac:dyDescent="0.2">
      <c r="H336" s="51"/>
      <c r="I336" s="51"/>
    </row>
    <row r="337" spans="8:9" x14ac:dyDescent="0.2">
      <c r="H337" s="51"/>
      <c r="I337" s="51"/>
    </row>
    <row r="338" spans="8:9" x14ac:dyDescent="0.2">
      <c r="H338" s="51"/>
      <c r="I338" s="51"/>
    </row>
    <row r="339" spans="8:9" x14ac:dyDescent="0.2">
      <c r="H339" s="51"/>
      <c r="I339" s="51"/>
    </row>
    <row r="340" spans="8:9" x14ac:dyDescent="0.2">
      <c r="H340" s="51"/>
      <c r="I340" s="51"/>
    </row>
    <row r="341" spans="8:9" x14ac:dyDescent="0.2">
      <c r="H341" s="51"/>
      <c r="I341" s="51"/>
    </row>
    <row r="342" spans="8:9" x14ac:dyDescent="0.2">
      <c r="H342" s="51"/>
      <c r="I342" s="51"/>
    </row>
    <row r="343" spans="8:9" x14ac:dyDescent="0.2">
      <c r="H343" s="51"/>
      <c r="I343" s="51"/>
    </row>
    <row r="344" spans="8:9" x14ac:dyDescent="0.2">
      <c r="H344" s="51"/>
      <c r="I344" s="51"/>
    </row>
    <row r="345" spans="8:9" x14ac:dyDescent="0.2">
      <c r="H345" s="51"/>
      <c r="I345" s="51"/>
    </row>
    <row r="346" spans="8:9" x14ac:dyDescent="0.2">
      <c r="H346" s="51"/>
      <c r="I346" s="51"/>
    </row>
    <row r="347" spans="8:9" x14ac:dyDescent="0.2">
      <c r="H347" s="51"/>
      <c r="I347" s="51"/>
    </row>
    <row r="348" spans="8:9" x14ac:dyDescent="0.2">
      <c r="H348" s="51"/>
      <c r="I348" s="51"/>
    </row>
    <row r="349" spans="8:9" x14ac:dyDescent="0.2">
      <c r="H349" s="51"/>
      <c r="I349" s="51"/>
    </row>
    <row r="350" spans="8:9" x14ac:dyDescent="0.2">
      <c r="H350" s="51"/>
      <c r="I350" s="51"/>
    </row>
    <row r="351" spans="8:9" x14ac:dyDescent="0.2">
      <c r="H351" s="51"/>
      <c r="I351" s="51"/>
    </row>
    <row r="352" spans="8:9" x14ac:dyDescent="0.2">
      <c r="H352" s="51"/>
      <c r="I352" s="51"/>
    </row>
    <row r="353" spans="8:9" x14ac:dyDescent="0.2">
      <c r="H353" s="51"/>
      <c r="I353" s="51"/>
    </row>
    <row r="354" spans="8:9" x14ac:dyDescent="0.2">
      <c r="H354" s="51"/>
      <c r="I354" s="51"/>
    </row>
    <row r="355" spans="8:9" x14ac:dyDescent="0.2">
      <c r="H355" s="51"/>
      <c r="I355" s="51"/>
    </row>
    <row r="356" spans="8:9" x14ac:dyDescent="0.2">
      <c r="H356" s="51"/>
      <c r="I356" s="51"/>
    </row>
    <row r="357" spans="8:9" x14ac:dyDescent="0.2">
      <c r="H357" s="51"/>
      <c r="I357" s="51"/>
    </row>
    <row r="358" spans="8:9" x14ac:dyDescent="0.2">
      <c r="H358" s="51"/>
      <c r="I358" s="51"/>
    </row>
    <row r="359" spans="8:9" x14ac:dyDescent="0.2">
      <c r="H359" s="51"/>
      <c r="I359" s="51"/>
    </row>
    <row r="360" spans="8:9" x14ac:dyDescent="0.2">
      <c r="H360" s="51"/>
      <c r="I360" s="51"/>
    </row>
    <row r="361" spans="8:9" x14ac:dyDescent="0.2">
      <c r="H361" s="51"/>
      <c r="I361" s="51"/>
    </row>
    <row r="362" spans="8:9" x14ac:dyDescent="0.2">
      <c r="H362" s="51"/>
      <c r="I362" s="51"/>
    </row>
    <row r="363" spans="8:9" x14ac:dyDescent="0.2">
      <c r="H363" s="51"/>
      <c r="I363" s="51"/>
    </row>
    <row r="364" spans="8:9" x14ac:dyDescent="0.2">
      <c r="H364" s="51"/>
      <c r="I364" s="51"/>
    </row>
    <row r="365" spans="8:9" x14ac:dyDescent="0.2">
      <c r="H365" s="51"/>
      <c r="I365" s="51"/>
    </row>
    <row r="366" spans="8:9" x14ac:dyDescent="0.2">
      <c r="H366" s="51"/>
      <c r="I366" s="51"/>
    </row>
    <row r="367" spans="8:9" x14ac:dyDescent="0.2">
      <c r="H367" s="51"/>
      <c r="I367" s="51"/>
    </row>
    <row r="368" spans="8:9" x14ac:dyDescent="0.2">
      <c r="H368" s="51"/>
      <c r="I368" s="51"/>
    </row>
    <row r="369" spans="8:9" x14ac:dyDescent="0.2">
      <c r="H369" s="51"/>
      <c r="I369" s="51"/>
    </row>
    <row r="370" spans="8:9" x14ac:dyDescent="0.2">
      <c r="H370" s="51"/>
      <c r="I370" s="51"/>
    </row>
    <row r="371" spans="8:9" x14ac:dyDescent="0.2">
      <c r="H371" s="51"/>
      <c r="I371" s="51"/>
    </row>
    <row r="372" spans="8:9" x14ac:dyDescent="0.2">
      <c r="H372" s="51"/>
      <c r="I372" s="51"/>
    </row>
    <row r="373" spans="8:9" x14ac:dyDescent="0.2">
      <c r="H373" s="51"/>
      <c r="I373" s="51"/>
    </row>
    <row r="374" spans="8:9" x14ac:dyDescent="0.2">
      <c r="H374" s="51"/>
      <c r="I374" s="51"/>
    </row>
    <row r="375" spans="8:9" x14ac:dyDescent="0.2">
      <c r="H375" s="51"/>
      <c r="I375" s="51"/>
    </row>
    <row r="376" spans="8:9" x14ac:dyDescent="0.2">
      <c r="H376" s="51"/>
      <c r="I376" s="51"/>
    </row>
    <row r="377" spans="8:9" x14ac:dyDescent="0.2">
      <c r="H377" s="51"/>
      <c r="I377" s="51"/>
    </row>
    <row r="378" spans="8:9" x14ac:dyDescent="0.2">
      <c r="H378" s="51"/>
      <c r="I378" s="51"/>
    </row>
    <row r="379" spans="8:9" x14ac:dyDescent="0.2">
      <c r="H379" s="51"/>
      <c r="I379" s="51"/>
    </row>
    <row r="380" spans="8:9" x14ac:dyDescent="0.2">
      <c r="H380" s="51"/>
      <c r="I380" s="51"/>
    </row>
    <row r="381" spans="8:9" x14ac:dyDescent="0.2">
      <c r="H381" s="51"/>
      <c r="I381" s="51"/>
    </row>
    <row r="382" spans="8:9" x14ac:dyDescent="0.2">
      <c r="H382" s="51"/>
      <c r="I382" s="51"/>
    </row>
    <row r="383" spans="8:9" x14ac:dyDescent="0.2">
      <c r="H383" s="51"/>
      <c r="I383" s="51"/>
    </row>
    <row r="384" spans="8:9" x14ac:dyDescent="0.2">
      <c r="H384" s="51"/>
      <c r="I384" s="51"/>
    </row>
    <row r="385" spans="8:9" x14ac:dyDescent="0.2">
      <c r="H385" s="51"/>
      <c r="I385" s="51"/>
    </row>
    <row r="386" spans="8:9" x14ac:dyDescent="0.2">
      <c r="H386" s="51"/>
      <c r="I386" s="51"/>
    </row>
    <row r="387" spans="8:9" x14ac:dyDescent="0.2">
      <c r="H387" s="51"/>
      <c r="I387" s="51"/>
    </row>
    <row r="388" spans="8:9" x14ac:dyDescent="0.2">
      <c r="H388" s="51"/>
      <c r="I388" s="51"/>
    </row>
    <row r="389" spans="8:9" x14ac:dyDescent="0.2">
      <c r="H389" s="51"/>
      <c r="I389" s="51"/>
    </row>
    <row r="390" spans="8:9" x14ac:dyDescent="0.2">
      <c r="H390" s="51"/>
      <c r="I390" s="51"/>
    </row>
    <row r="391" spans="8:9" x14ac:dyDescent="0.2">
      <c r="H391" s="51"/>
      <c r="I391" s="51"/>
    </row>
    <row r="392" spans="8:9" x14ac:dyDescent="0.2">
      <c r="H392" s="51"/>
      <c r="I392" s="51"/>
    </row>
    <row r="393" spans="8:9" x14ac:dyDescent="0.2">
      <c r="H393" s="51"/>
      <c r="I393" s="51"/>
    </row>
    <row r="394" spans="8:9" x14ac:dyDescent="0.2">
      <c r="H394" s="51"/>
      <c r="I394" s="51"/>
    </row>
    <row r="395" spans="8:9" x14ac:dyDescent="0.2">
      <c r="H395" s="51"/>
      <c r="I395" s="51"/>
    </row>
    <row r="396" spans="8:9" x14ac:dyDescent="0.2">
      <c r="H396" s="51"/>
      <c r="I396" s="51"/>
    </row>
    <row r="397" spans="8:9" x14ac:dyDescent="0.2">
      <c r="H397" s="51"/>
      <c r="I397" s="51"/>
    </row>
    <row r="398" spans="8:9" x14ac:dyDescent="0.2">
      <c r="H398" s="51"/>
      <c r="I398" s="51"/>
    </row>
    <row r="399" spans="8:9" x14ac:dyDescent="0.2">
      <c r="H399" s="51"/>
      <c r="I399" s="51"/>
    </row>
    <row r="400" spans="8:9" x14ac:dyDescent="0.2">
      <c r="H400" s="51"/>
      <c r="I400" s="51"/>
    </row>
    <row r="401" spans="8:9" x14ac:dyDescent="0.2">
      <c r="H401" s="51"/>
      <c r="I401" s="51"/>
    </row>
    <row r="402" spans="8:9" x14ac:dyDescent="0.2">
      <c r="H402" s="51"/>
      <c r="I402" s="51"/>
    </row>
    <row r="403" spans="8:9" x14ac:dyDescent="0.2">
      <c r="H403" s="51"/>
      <c r="I403" s="51"/>
    </row>
    <row r="404" spans="8:9" x14ac:dyDescent="0.2">
      <c r="H404" s="51"/>
      <c r="I404" s="51"/>
    </row>
    <row r="405" spans="8:9" x14ac:dyDescent="0.2">
      <c r="H405" s="51"/>
      <c r="I405" s="51"/>
    </row>
    <row r="406" spans="8:9" x14ac:dyDescent="0.2">
      <c r="H406" s="51"/>
      <c r="I406" s="51"/>
    </row>
    <row r="407" spans="8:9" x14ac:dyDescent="0.2">
      <c r="H407" s="51"/>
      <c r="I407" s="51"/>
    </row>
    <row r="408" spans="8:9" x14ac:dyDescent="0.2">
      <c r="H408" s="51"/>
      <c r="I408" s="51"/>
    </row>
    <row r="409" spans="8:9" x14ac:dyDescent="0.2">
      <c r="H409" s="51"/>
      <c r="I409" s="51"/>
    </row>
    <row r="410" spans="8:9" x14ac:dyDescent="0.2">
      <c r="H410" s="51"/>
      <c r="I410" s="51"/>
    </row>
    <row r="411" spans="8:9" x14ac:dyDescent="0.2">
      <c r="H411" s="51"/>
      <c r="I411" s="51"/>
    </row>
    <row r="412" spans="8:9" x14ac:dyDescent="0.2">
      <c r="H412" s="51"/>
      <c r="I412" s="51"/>
    </row>
    <row r="413" spans="8:9" x14ac:dyDescent="0.2">
      <c r="H413" s="51"/>
      <c r="I413" s="51"/>
    </row>
    <row r="414" spans="8:9" x14ac:dyDescent="0.2">
      <c r="H414" s="51"/>
      <c r="I414" s="51"/>
    </row>
    <row r="415" spans="8:9" x14ac:dyDescent="0.2">
      <c r="H415" s="51"/>
      <c r="I415" s="51"/>
    </row>
    <row r="416" spans="8:9" x14ac:dyDescent="0.2">
      <c r="H416" s="51"/>
      <c r="I416" s="51"/>
    </row>
    <row r="417" spans="8:9" x14ac:dyDescent="0.2">
      <c r="H417" s="51"/>
      <c r="I417" s="51"/>
    </row>
    <row r="418" spans="8:9" x14ac:dyDescent="0.2">
      <c r="H418" s="51"/>
      <c r="I418" s="51"/>
    </row>
    <row r="419" spans="8:9" x14ac:dyDescent="0.2">
      <c r="H419" s="51"/>
      <c r="I419" s="51"/>
    </row>
    <row r="420" spans="8:9" x14ac:dyDescent="0.2">
      <c r="H420" s="51"/>
      <c r="I420" s="51"/>
    </row>
    <row r="421" spans="8:9" x14ac:dyDescent="0.2">
      <c r="H421" s="51"/>
      <c r="I421" s="51"/>
    </row>
    <row r="422" spans="8:9" x14ac:dyDescent="0.2">
      <c r="H422" s="51"/>
      <c r="I422" s="51"/>
    </row>
    <row r="423" spans="8:9" x14ac:dyDescent="0.2">
      <c r="H423" s="51"/>
      <c r="I423" s="51"/>
    </row>
    <row r="424" spans="8:9" x14ac:dyDescent="0.2">
      <c r="H424" s="51"/>
      <c r="I424" s="51"/>
    </row>
    <row r="425" spans="8:9" x14ac:dyDescent="0.2">
      <c r="H425" s="51"/>
      <c r="I425" s="51"/>
    </row>
    <row r="426" spans="8:9" x14ac:dyDescent="0.2">
      <c r="H426" s="51"/>
      <c r="I426" s="51"/>
    </row>
    <row r="427" spans="8:9" x14ac:dyDescent="0.2">
      <c r="H427" s="51"/>
      <c r="I427" s="51"/>
    </row>
    <row r="428" spans="8:9" x14ac:dyDescent="0.2">
      <c r="H428" s="51"/>
      <c r="I428" s="51"/>
    </row>
    <row r="429" spans="8:9" x14ac:dyDescent="0.2">
      <c r="H429" s="51"/>
      <c r="I429" s="51"/>
    </row>
    <row r="430" spans="8:9" x14ac:dyDescent="0.2">
      <c r="H430" s="51"/>
      <c r="I430" s="51"/>
    </row>
    <row r="431" spans="8:9" x14ac:dyDescent="0.2">
      <c r="H431" s="51"/>
      <c r="I431" s="51"/>
    </row>
    <row r="432" spans="8:9" x14ac:dyDescent="0.2">
      <c r="H432" s="51"/>
      <c r="I432" s="51"/>
    </row>
    <row r="433" spans="8:9" x14ac:dyDescent="0.2">
      <c r="H433" s="51"/>
      <c r="I433" s="51"/>
    </row>
    <row r="434" spans="8:9" x14ac:dyDescent="0.2">
      <c r="H434" s="51"/>
      <c r="I434" s="51"/>
    </row>
    <row r="435" spans="8:9" x14ac:dyDescent="0.2">
      <c r="H435" s="51"/>
      <c r="I435" s="51"/>
    </row>
    <row r="436" spans="8:9" x14ac:dyDescent="0.2">
      <c r="H436" s="51"/>
      <c r="I436" s="51"/>
    </row>
    <row r="437" spans="8:9" x14ac:dyDescent="0.2">
      <c r="H437" s="51"/>
      <c r="I437" s="51"/>
    </row>
    <row r="438" spans="8:9" x14ac:dyDescent="0.2">
      <c r="H438" s="51"/>
      <c r="I438" s="51"/>
    </row>
    <row r="439" spans="8:9" x14ac:dyDescent="0.2">
      <c r="H439" s="51"/>
      <c r="I439" s="51"/>
    </row>
    <row r="440" spans="8:9" x14ac:dyDescent="0.2">
      <c r="H440" s="51"/>
      <c r="I440" s="51"/>
    </row>
    <row r="441" spans="8:9" x14ac:dyDescent="0.2">
      <c r="H441" s="51"/>
      <c r="I441" s="51"/>
    </row>
    <row r="442" spans="8:9" x14ac:dyDescent="0.2">
      <c r="H442" s="51"/>
      <c r="I442" s="51"/>
    </row>
    <row r="443" spans="8:9" x14ac:dyDescent="0.2">
      <c r="H443" s="51"/>
      <c r="I443" s="51"/>
    </row>
    <row r="444" spans="8:9" x14ac:dyDescent="0.2">
      <c r="H444" s="51"/>
      <c r="I444" s="51"/>
    </row>
    <row r="445" spans="8:9" x14ac:dyDescent="0.2">
      <c r="H445" s="51"/>
      <c r="I445" s="51"/>
    </row>
    <row r="446" spans="8:9" x14ac:dyDescent="0.2">
      <c r="H446" s="51"/>
      <c r="I446" s="51"/>
    </row>
    <row r="447" spans="8:9" x14ac:dyDescent="0.2">
      <c r="H447" s="51"/>
      <c r="I447" s="51"/>
    </row>
    <row r="448" spans="8:9" x14ac:dyDescent="0.2">
      <c r="H448" s="51"/>
      <c r="I448" s="51"/>
    </row>
    <row r="449" spans="8:9" x14ac:dyDescent="0.2">
      <c r="H449" s="51"/>
      <c r="I449" s="51"/>
    </row>
    <row r="450" spans="8:9" x14ac:dyDescent="0.2">
      <c r="H450" s="51"/>
      <c r="I450" s="51"/>
    </row>
    <row r="451" spans="8:9" x14ac:dyDescent="0.2">
      <c r="H451" s="51"/>
      <c r="I451" s="51"/>
    </row>
    <row r="452" spans="8:9" x14ac:dyDescent="0.2">
      <c r="H452" s="51"/>
      <c r="I452" s="51"/>
    </row>
    <row r="453" spans="8:9" x14ac:dyDescent="0.2">
      <c r="H453" s="51"/>
      <c r="I453" s="51"/>
    </row>
    <row r="454" spans="8:9" x14ac:dyDescent="0.2">
      <c r="H454" s="51"/>
      <c r="I454" s="51"/>
    </row>
    <row r="455" spans="8:9" x14ac:dyDescent="0.2">
      <c r="H455" s="51"/>
      <c r="I455" s="51"/>
    </row>
    <row r="456" spans="8:9" x14ac:dyDescent="0.2">
      <c r="H456" s="51"/>
      <c r="I456" s="51"/>
    </row>
    <row r="457" spans="8:9" x14ac:dyDescent="0.2">
      <c r="H457" s="51"/>
      <c r="I457" s="51"/>
    </row>
    <row r="458" spans="8:9" x14ac:dyDescent="0.2">
      <c r="H458" s="51"/>
      <c r="I458" s="51"/>
    </row>
    <row r="459" spans="8:9" x14ac:dyDescent="0.2">
      <c r="H459" s="51"/>
      <c r="I459" s="51"/>
    </row>
    <row r="460" spans="8:9" x14ac:dyDescent="0.2">
      <c r="H460" s="51"/>
      <c r="I460" s="51"/>
    </row>
    <row r="461" spans="8:9" x14ac:dyDescent="0.2">
      <c r="H461" s="51"/>
      <c r="I461" s="51"/>
    </row>
    <row r="462" spans="8:9" x14ac:dyDescent="0.2">
      <c r="H462" s="51"/>
      <c r="I462" s="51"/>
    </row>
    <row r="463" spans="8:9" x14ac:dyDescent="0.2">
      <c r="H463" s="51"/>
      <c r="I463" s="51"/>
    </row>
    <row r="464" spans="8:9" x14ac:dyDescent="0.2">
      <c r="H464" s="51"/>
      <c r="I464" s="51"/>
    </row>
    <row r="465" spans="8:9" x14ac:dyDescent="0.2">
      <c r="H465" s="51"/>
      <c r="I465" s="51"/>
    </row>
    <row r="466" spans="8:9" x14ac:dyDescent="0.2">
      <c r="H466" s="51"/>
      <c r="I466" s="51"/>
    </row>
    <row r="467" spans="8:9" x14ac:dyDescent="0.2">
      <c r="H467" s="51"/>
      <c r="I467" s="51"/>
    </row>
    <row r="468" spans="8:9" x14ac:dyDescent="0.2">
      <c r="H468" s="51"/>
      <c r="I468" s="51"/>
    </row>
    <row r="469" spans="8:9" x14ac:dyDescent="0.2">
      <c r="H469" s="51"/>
      <c r="I469" s="51"/>
    </row>
    <row r="470" spans="8:9" x14ac:dyDescent="0.2">
      <c r="H470" s="51"/>
      <c r="I470" s="51"/>
    </row>
    <row r="471" spans="8:9" x14ac:dyDescent="0.2">
      <c r="H471" s="51"/>
      <c r="I471" s="51"/>
    </row>
    <row r="472" spans="8:9" x14ac:dyDescent="0.2">
      <c r="H472" s="51"/>
      <c r="I472" s="51"/>
    </row>
    <row r="473" spans="8:9" x14ac:dyDescent="0.2">
      <c r="H473" s="51"/>
      <c r="I473" s="51"/>
    </row>
    <row r="474" spans="8:9" x14ac:dyDescent="0.2">
      <c r="H474" s="51"/>
      <c r="I474" s="51"/>
    </row>
    <row r="475" spans="8:9" x14ac:dyDescent="0.2">
      <c r="H475" s="51"/>
      <c r="I475" s="51"/>
    </row>
    <row r="476" spans="8:9" x14ac:dyDescent="0.2">
      <c r="H476" s="51"/>
      <c r="I476" s="51"/>
    </row>
    <row r="477" spans="8:9" x14ac:dyDescent="0.2">
      <c r="H477" s="51"/>
      <c r="I477" s="51"/>
    </row>
    <row r="478" spans="8:9" x14ac:dyDescent="0.2">
      <c r="H478" s="51"/>
      <c r="I478" s="51"/>
    </row>
    <row r="479" spans="8:9" x14ac:dyDescent="0.2">
      <c r="H479" s="51"/>
      <c r="I479" s="51"/>
    </row>
    <row r="480" spans="8:9" x14ac:dyDescent="0.2">
      <c r="H480" s="51"/>
      <c r="I480" s="51"/>
    </row>
    <row r="481" spans="8:9" x14ac:dyDescent="0.2">
      <c r="H481" s="51"/>
      <c r="I481" s="51"/>
    </row>
    <row r="482" spans="8:9" x14ac:dyDescent="0.2">
      <c r="H482" s="51"/>
      <c r="I482" s="51"/>
    </row>
    <row r="483" spans="8:9" x14ac:dyDescent="0.2">
      <c r="H483" s="51"/>
      <c r="I483" s="51"/>
    </row>
    <row r="484" spans="8:9" x14ac:dyDescent="0.2">
      <c r="H484" s="51"/>
      <c r="I484" s="51"/>
    </row>
    <row r="485" spans="8:9" x14ac:dyDescent="0.2">
      <c r="H485" s="51"/>
      <c r="I485" s="51"/>
    </row>
    <row r="486" spans="8:9" x14ac:dyDescent="0.2">
      <c r="H486" s="51"/>
      <c r="I486" s="51"/>
    </row>
    <row r="487" spans="8:9" x14ac:dyDescent="0.2">
      <c r="H487" s="51"/>
      <c r="I487" s="51"/>
    </row>
    <row r="488" spans="8:9" x14ac:dyDescent="0.2">
      <c r="H488" s="51"/>
      <c r="I488" s="51"/>
    </row>
    <row r="489" spans="8:9" x14ac:dyDescent="0.2">
      <c r="H489" s="51"/>
      <c r="I489" s="51"/>
    </row>
    <row r="490" spans="8:9" x14ac:dyDescent="0.2">
      <c r="H490" s="51"/>
      <c r="I490" s="51"/>
    </row>
    <row r="491" spans="8:9" x14ac:dyDescent="0.2">
      <c r="H491" s="51"/>
      <c r="I491" s="51"/>
    </row>
    <row r="492" spans="8:9" x14ac:dyDescent="0.2">
      <c r="H492" s="51"/>
      <c r="I492" s="51"/>
    </row>
    <row r="493" spans="8:9" x14ac:dyDescent="0.2">
      <c r="H493" s="51"/>
      <c r="I493" s="51"/>
    </row>
    <row r="494" spans="8:9" x14ac:dyDescent="0.2">
      <c r="H494" s="51"/>
      <c r="I494" s="51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33:H234"/>
    <mergeCell ref="J233:J234"/>
    <mergeCell ref="K233:K234"/>
    <mergeCell ref="H1:L1"/>
    <mergeCell ref="L233:L234"/>
    <mergeCell ref="A2:K2"/>
    <mergeCell ref="C233:C234"/>
    <mergeCell ref="D233:D234"/>
    <mergeCell ref="G233:G234"/>
    <mergeCell ref="E233:E234"/>
    <mergeCell ref="I233:I234"/>
    <mergeCell ref="F233:F23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9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2021-03-02T06:05:16Z</cp:lastPrinted>
  <dcterms:created xsi:type="dcterms:W3CDTF">1998-04-06T06:06:47Z</dcterms:created>
  <dcterms:modified xsi:type="dcterms:W3CDTF">2021-04-12T08:18:20Z</dcterms:modified>
</cp:coreProperties>
</file>